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<sst xmlns="http://schemas.openxmlformats.org/spreadsheetml/2006/main" count="279" uniqueCount="159">
  <si>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</si>
  <si>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</si>
  <si>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</si>
  <si>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</si>
  <si>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</si>
  <si>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</si>
  <si>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</si>
  <si>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</si>
  <si>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</si>
  <si>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</si>
  <si>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</si>
  <si>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</si>
  <si>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</si>
  <si>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</si>
  <si>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</si>
  <si>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</si>
  <si>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</si>
  <si>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</si>
  <si>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</si>
  <si>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</si>
  <si>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</si>
  <si>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Objekt</t>
  </si>
  <si>
    <t>Kód</t>
  </si>
  <si>
    <t>0</t>
  </si>
  <si>
    <t>071334111R00</t>
  </si>
  <si>
    <t>60</t>
  </si>
  <si>
    <t>602022191R00</t>
  </si>
  <si>
    <t>602023147R00</t>
  </si>
  <si>
    <t>998001011R00</t>
  </si>
  <si>
    <t>784</t>
  </si>
  <si>
    <t>784402801R00</t>
  </si>
  <si>
    <t>941955003R00</t>
  </si>
  <si>
    <t>784414301R00</t>
  </si>
  <si>
    <t>784422911R00</t>
  </si>
  <si>
    <t>784442001R00</t>
  </si>
  <si>
    <t>784495901R00</t>
  </si>
  <si>
    <t>784498930R00</t>
  </si>
  <si>
    <t>784445911R00</t>
  </si>
  <si>
    <t>784499906R00</t>
  </si>
  <si>
    <t>784441010R00</t>
  </si>
  <si>
    <t>95</t>
  </si>
  <si>
    <t>952901111R00</t>
  </si>
  <si>
    <t>Zkrácený popis</t>
  </si>
  <si>
    <t>Rozměry</t>
  </si>
  <si>
    <t>Všeobecné konstrukce a práce</t>
  </si>
  <si>
    <t>Zakrytí podlah, oken, dveří, nábytku, zařízení a pod.</t>
  </si>
  <si>
    <t>Omítky ze suchých směsí</t>
  </si>
  <si>
    <t>Přesun hmot</t>
  </si>
  <si>
    <t>Malby</t>
  </si>
  <si>
    <t>Odstranění malby oškrábáním v místnosti H do 3,8 m</t>
  </si>
  <si>
    <t>Lešení lehké pomocné, výška podlahy do 2,5 m</t>
  </si>
  <si>
    <t>Oprava, malba váp.2x, 1bar. obrus. místn. do 3,8m</t>
  </si>
  <si>
    <t>Oprava, izolování 1x syntetika, místnost do 3,8 m</t>
  </si>
  <si>
    <t>Penetrace před tmelením trhlin akryl. tmelem</t>
  </si>
  <si>
    <t>Oprava, malba latex 2x, 1bar. obrus. míst. do 3,8m</t>
  </si>
  <si>
    <t>Oprava, příplatek za malbu na omítkách hladkých</t>
  </si>
  <si>
    <t>Malba latexová 2x, 1barevná, místnost v. do 3,8 m</t>
  </si>
  <si>
    <t>Různé dokončovací konstrukce a práce na pozemních stavbách</t>
  </si>
  <si>
    <t>Vyčištění budov o výšce podlaží do 4 m</t>
  </si>
  <si>
    <t>Doba výstavby:</t>
  </si>
  <si>
    <t>Zpracováno dne:</t>
  </si>
  <si>
    <t>M.j.</t>
  </si>
  <si>
    <t>m3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</si>
  <si>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</si>
  <si>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</si>
  <si>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</si>
  <si>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</si>
  <si>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</si>
  <si>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</si>
  <si>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</si>
  <si>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</si>
  <si>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</si>
  <si>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</si>
  <si>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</si>
  <si>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</si>
  <si>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</si>
  <si>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</si>
  <si>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</si>
  <si>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</si>
  <si>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</si>
  <si>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</si>
  <si>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</si>
  <si>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</si>
  <si>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</si>
  <si>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</si>
  <si>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</si>
  <si>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</si>
  <si>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</si>
  <si>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60_</t>
  </si>
  <si>
    <t>784_</t>
  </si>
  <si>
    <t>95_</t>
  </si>
  <si>
    <t>6_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</si>
  <si>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</si>
  <si>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</si>
  <si>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</si>
  <si>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</si>
  <si>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</si>
  <si>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</si>
  <si>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</si>
  <si>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</si>
  <si>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</si>
  <si>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</si>
  <si>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</si>
  <si>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</si>
  <si>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</si>
  <si>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</si>
  <si>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</si>
  <si>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</si>
  <si>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</si>
  <si>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</si>
  <si>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</si>
  <si>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</si>
  <si>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</si>
  <si>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</si>
  <si>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</si>
  <si>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</si>
  <si>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</si>
  <si>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</si>
  <si>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</si>
  <si>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</si>
  <si>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</si>
  <si>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</si>
  <si>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</si>
  <si>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</si>
  <si>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</si>
  <si>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</si>
  <si>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</si>
  <si>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</si>
  <si>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</si>
  <si>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</si>
  <si>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</si>
  <si>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</si>
  <si>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</si>
  <si>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</si>
  <si>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</si>
  <si>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 0</t>
  </si>
  <si>
    <t>IČ/DIČ:0</t>
  </si>
  <si>
    <t>Položek:</t>
  </si>
  <si>
    <t>Datum:</t>
  </si>
  <si>
    <t>Náklady na umístění stavby (NUS)</t>
  </si>
  <si>
    <t xml:space="preserve">Název stavby: </t>
  </si>
  <si>
    <t>Druh stavby:</t>
  </si>
  <si>
    <t>Začátek výstavby:</t>
  </si>
  <si>
    <t>Konec výstavby:</t>
  </si>
  <si>
    <t xml:space="preserve">Druh stavby: </t>
  </si>
  <si>
    <t>Objednatel:</t>
  </si>
  <si>
    <t>IČ/DIČ:</t>
  </si>
  <si>
    <t xml:space="preserve">Lokalita: </t>
  </si>
  <si>
    <t>JKSO:</t>
  </si>
  <si>
    <t xml:space="preserve">Penetrace podkladu nátěrem </t>
  </si>
  <si>
    <t>Malba disperzní interiérová , výška do 3,8 m</t>
  </si>
  <si>
    <t>Stěrka stěn sádrová , ručně</t>
  </si>
  <si>
    <t xml:space="preserve">Penetrační nátěr stěn PCI </t>
  </si>
  <si>
    <t>Psychiatrická nemocnice Horní Beřkovice, Podřipská 1, 41185 Horní Beřkovice</t>
  </si>
  <si>
    <t>Horní Beřkovice , Podřipská 1, 41185</t>
  </si>
  <si>
    <t>Zhotovitel:</t>
  </si>
  <si>
    <t xml:space="preserve">Projektant: </t>
  </si>
  <si>
    <t>00673552</t>
  </si>
  <si>
    <t xml:space="preserve">Malířské práce  na budově D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</si>
</sst>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0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4" borderId="38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F8" sqref="F8:G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6"/>
      <c r="C1" s="52" t="s">
        <v>110</v>
      </c>
      <c r="D1" s="53"/>
      <c r="E1" s="53"/>
      <c r="F1" s="53"/>
      <c r="G1" s="53"/>
      <c r="H1" s="53"/>
      <c r="I1" s="53"/>
    </row>
    <row r="2" spans="1:10" ht="12.75" customHeight="1">
      <c r="A2" s="54" t="s">
        <v>140</v>
      </c>
      <c r="B2" s="55"/>
      <c r="C2" s="62" t="s">
        <v>158</v>
      </c>
      <c r="D2" s="62"/>
      <c r="E2" s="58" t="s">
        <v>145</v>
      </c>
      <c r="F2" s="59" t="s">
        <v>153</v>
      </c>
      <c r="G2" s="57"/>
      <c r="H2" s="58" t="s">
        <v>146</v>
      </c>
      <c r="I2" s="60" t="s">
        <v>157</v>
      </c>
      <c r="J2" s="28"/>
    </row>
    <row r="3" spans="1:10" ht="12.75">
      <c r="A3" s="56"/>
      <c r="B3" s="57"/>
      <c r="C3" s="63"/>
      <c r="D3" s="63"/>
      <c r="E3" s="57"/>
      <c r="F3" s="57"/>
      <c r="G3" s="57"/>
      <c r="H3" s="57"/>
      <c r="I3" s="61"/>
      <c r="J3" s="28"/>
    </row>
    <row r="4" spans="1:10" ht="12.75">
      <c r="A4" s="64" t="s">
        <v>144</v>
      </c>
      <c r="B4" s="57"/>
      <c r="C4" s="59"/>
      <c r="D4" s="57"/>
      <c r="E4" s="59" t="s">
        <v>156</v>
      </c>
      <c r="F4" s="59"/>
      <c r="G4" s="57"/>
      <c r="H4" s="59" t="s">
        <v>135</v>
      </c>
      <c r="I4" s="65"/>
      <c r="J4" s="28"/>
    </row>
    <row r="5" spans="1:10" ht="12.75">
      <c r="A5" s="56"/>
      <c r="B5" s="57"/>
      <c r="C5" s="57"/>
      <c r="D5" s="57"/>
      <c r="E5" s="57"/>
      <c r="F5" s="57"/>
      <c r="G5" s="57"/>
      <c r="H5" s="57"/>
      <c r="I5" s="61"/>
      <c r="J5" s="28"/>
    </row>
    <row r="6" spans="1:10" ht="12.75">
      <c r="A6" s="64" t="s">
        <v>147</v>
      </c>
      <c r="B6" s="57"/>
      <c r="C6" s="59" t="s">
        <v>153</v>
      </c>
      <c r="D6" s="57"/>
      <c r="E6" s="59" t="s">
        <v>155</v>
      </c>
      <c r="F6" s="59"/>
      <c r="G6" s="57"/>
      <c r="H6" s="59" t="s">
        <v>136</v>
      </c>
      <c r="I6" s="65"/>
      <c r="J6" s="28"/>
    </row>
    <row r="7" spans="1:10" ht="12.75">
      <c r="A7" s="56"/>
      <c r="B7" s="57"/>
      <c r="C7" s="57"/>
      <c r="D7" s="57"/>
      <c r="E7" s="57"/>
      <c r="F7" s="57"/>
      <c r="G7" s="57"/>
      <c r="H7" s="57"/>
      <c r="I7" s="61"/>
      <c r="J7" s="28"/>
    </row>
    <row r="8" spans="1:10" ht="12.75">
      <c r="A8" s="64" t="s">
        <v>142</v>
      </c>
      <c r="B8" s="57"/>
      <c r="C8" s="66"/>
      <c r="D8" s="57"/>
      <c r="E8" s="59" t="s">
        <v>143</v>
      </c>
      <c r="F8" s="57"/>
      <c r="G8" s="57"/>
      <c r="H8" s="67" t="s">
        <v>137</v>
      </c>
      <c r="I8" s="65"/>
      <c r="J8" s="28"/>
    </row>
    <row r="9" spans="1:10" ht="12.75">
      <c r="A9" s="56"/>
      <c r="B9" s="57"/>
      <c r="C9" s="57"/>
      <c r="D9" s="57"/>
      <c r="E9" s="57"/>
      <c r="F9" s="57"/>
      <c r="G9" s="57"/>
      <c r="H9" s="57"/>
      <c r="I9" s="61"/>
      <c r="J9" s="28"/>
    </row>
    <row r="10" spans="1:10" ht="12.75">
      <c r="A10" s="64" t="s">
        <v>148</v>
      </c>
      <c r="B10" s="57"/>
      <c r="C10" s="59"/>
      <c r="D10" s="57"/>
      <c r="E10" s="59" t="s">
        <v>71</v>
      </c>
      <c r="F10" s="59"/>
      <c r="G10" s="57"/>
      <c r="H10" s="67" t="s">
        <v>138</v>
      </c>
      <c r="I10" s="70"/>
      <c r="J10" s="28"/>
    </row>
    <row r="11" spans="1:10" ht="12.75">
      <c r="A11" s="68"/>
      <c r="B11" s="69"/>
      <c r="C11" s="69"/>
      <c r="D11" s="69"/>
      <c r="E11" s="69"/>
      <c r="F11" s="69"/>
      <c r="G11" s="69"/>
      <c r="H11" s="69"/>
      <c r="I11" s="71"/>
      <c r="J11" s="28"/>
    </row>
    <row r="12" spans="1:9" ht="23.25" customHeight="1">
      <c r="A12" s="72" t="s">
        <v>95</v>
      </c>
      <c r="B12" s="73"/>
      <c r="C12" s="73"/>
      <c r="D12" s="73"/>
      <c r="E12" s="73"/>
      <c r="F12" s="73"/>
      <c r="G12" s="73"/>
      <c r="H12" s="73"/>
      <c r="I12" s="73"/>
    </row>
    <row r="13" spans="1:10" ht="26.25" customHeight="1">
      <c r="A13" s="37" t="s">
        <v>96</v>
      </c>
      <c r="B13" s="74" t="s">
        <v>108</v>
      </c>
      <c r="C13" s="75"/>
      <c r="D13" s="37" t="s">
        <v>111</v>
      </c>
      <c r="E13" s="74" t="s">
        <v>120</v>
      </c>
      <c r="F13" s="75"/>
      <c r="G13" s="37" t="s">
        <v>121</v>
      </c>
      <c r="H13" s="74" t="s">
        <v>139</v>
      </c>
      <c r="I13" s="75"/>
      <c r="J13" s="28"/>
    </row>
    <row r="14" spans="1:10" ht="15" customHeight="1">
      <c r="A14" s="38" t="s">
        <v>97</v>
      </c>
      <c r="B14" s="42" t="s">
        <v>109</v>
      </c>
      <c r="C14" s="45">
        <f>SUM('Stavební rozpočet'!R12:R32)</f>
        <v>0</v>
      </c>
      <c r="D14" s="76" t="s">
        <v>112</v>
      </c>
      <c r="E14" s="77"/>
      <c r="F14" s="45">
        <v>0</v>
      </c>
      <c r="G14" s="76" t="s">
        <v>122</v>
      </c>
      <c r="H14" s="77"/>
      <c r="I14" s="45">
        <v>0</v>
      </c>
      <c r="J14" s="28"/>
    </row>
    <row r="15" spans="1:10" ht="15" customHeight="1">
      <c r="A15" s="39"/>
      <c r="B15" s="42" t="s">
        <v>72</v>
      </c>
      <c r="C15" s="45">
        <f>SUM('Stavební rozpočet'!S12:S32)</f>
        <v>0</v>
      </c>
      <c r="D15" s="76" t="s">
        <v>113</v>
      </c>
      <c r="E15" s="77"/>
      <c r="F15" s="45">
        <v>0</v>
      </c>
      <c r="G15" s="76" t="s">
        <v>123</v>
      </c>
      <c r="H15" s="77"/>
      <c r="I15" s="45">
        <v>0</v>
      </c>
      <c r="J15" s="28"/>
    </row>
    <row r="16" spans="1:10" ht="15" customHeight="1">
      <c r="A16" s="38" t="s">
        <v>98</v>
      </c>
      <c r="B16" s="42" t="s">
        <v>109</v>
      </c>
      <c r="C16" s="45">
        <f>SUM('Stavební rozpočet'!T12:T32)</f>
        <v>0</v>
      </c>
      <c r="D16" s="76" t="s">
        <v>114</v>
      </c>
      <c r="E16" s="77"/>
      <c r="F16" s="45">
        <v>0</v>
      </c>
      <c r="G16" s="76" t="s">
        <v>124</v>
      </c>
      <c r="H16" s="77"/>
      <c r="I16" s="45">
        <v>0</v>
      </c>
      <c r="J16" s="28"/>
    </row>
    <row r="17" spans="1:10" ht="15" customHeight="1">
      <c r="A17" s="39"/>
      <c r="B17" s="42" t="s">
        <v>72</v>
      </c>
      <c r="C17" s="45">
        <f>SUM('Stavební rozpočet'!U12:U32)</f>
        <v>0</v>
      </c>
      <c r="D17" s="76"/>
      <c r="E17" s="77"/>
      <c r="F17" s="46"/>
      <c r="G17" s="76" t="s">
        <v>125</v>
      </c>
      <c r="H17" s="77"/>
      <c r="I17" s="45">
        <v>0</v>
      </c>
      <c r="J17" s="28"/>
    </row>
    <row r="18" spans="1:10" ht="15" customHeight="1">
      <c r="A18" s="38" t="s">
        <v>99</v>
      </c>
      <c r="B18" s="42" t="s">
        <v>109</v>
      </c>
      <c r="C18" s="45">
        <f>SUM('Stavební rozpočet'!V12:V32)</f>
        <v>0</v>
      </c>
      <c r="D18" s="76"/>
      <c r="E18" s="77"/>
      <c r="F18" s="46"/>
      <c r="G18" s="76" t="s">
        <v>126</v>
      </c>
      <c r="H18" s="77"/>
      <c r="I18" s="45">
        <v>0</v>
      </c>
      <c r="J18" s="28"/>
    </row>
    <row r="19" spans="1:10" ht="15" customHeight="1">
      <c r="A19" s="39"/>
      <c r="B19" s="42" t="s">
        <v>72</v>
      </c>
      <c r="C19" s="45">
        <f>SUM('Stavební rozpočet'!W12:W32)</f>
        <v>0</v>
      </c>
      <c r="D19" s="76"/>
      <c r="E19" s="77"/>
      <c r="F19" s="46"/>
      <c r="G19" s="76" t="s">
        <v>127</v>
      </c>
      <c r="H19" s="77"/>
      <c r="I19" s="45">
        <v>0</v>
      </c>
      <c r="J19" s="28"/>
    </row>
    <row r="20" spans="1:10" ht="15" customHeight="1">
      <c r="A20" s="78" t="s">
        <v>100</v>
      </c>
      <c r="B20" s="79"/>
      <c r="C20" s="45">
        <f>SUM('Stavební rozpočet'!X12:X32)</f>
        <v>0</v>
      </c>
      <c r="D20" s="76"/>
      <c r="E20" s="77"/>
      <c r="F20" s="46"/>
      <c r="G20" s="76"/>
      <c r="H20" s="77"/>
      <c r="I20" s="46"/>
      <c r="J20" s="28"/>
    </row>
    <row r="21" spans="1:10" ht="15" customHeight="1">
      <c r="A21" s="78" t="s">
        <v>101</v>
      </c>
      <c r="B21" s="79"/>
      <c r="C21" s="45">
        <f>SUM('Stavební rozpočet'!P12:P32)</f>
        <v>0</v>
      </c>
      <c r="D21" s="76"/>
      <c r="E21" s="77"/>
      <c r="F21" s="46"/>
      <c r="G21" s="76"/>
      <c r="H21" s="77"/>
      <c r="I21" s="46"/>
      <c r="J21" s="28"/>
    </row>
    <row r="22" spans="1:10" ht="16.5" customHeight="1">
      <c r="A22" s="78" t="s">
        <v>102</v>
      </c>
      <c r="B22" s="79"/>
      <c r="C22" s="45">
        <f>SUM(C14:C21)</f>
        <v>0</v>
      </c>
      <c r="D22" s="78" t="s">
        <v>115</v>
      </c>
      <c r="E22" s="79"/>
      <c r="F22" s="45">
        <f>SUM(F14:F21)</f>
        <v>0</v>
      </c>
      <c r="G22" s="78" t="s">
        <v>128</v>
      </c>
      <c r="H22" s="79"/>
      <c r="I22" s="45">
        <f>SUM(I14:I21)</f>
        <v>0</v>
      </c>
      <c r="J22" s="28"/>
    </row>
    <row r="23" spans="1:10" ht="15" customHeight="1">
      <c r="A23" s="7"/>
      <c r="B23" s="7"/>
      <c r="C23" s="43"/>
      <c r="D23" s="78" t="s">
        <v>116</v>
      </c>
      <c r="E23" s="79"/>
      <c r="F23" s="47">
        <v>0</v>
      </c>
      <c r="G23" s="78" t="s">
        <v>129</v>
      </c>
      <c r="H23" s="79"/>
      <c r="I23" s="45">
        <v>0</v>
      </c>
      <c r="J23" s="28"/>
    </row>
    <row r="24" spans="4:10" ht="15" customHeight="1">
      <c r="D24" s="7"/>
      <c r="E24" s="7"/>
      <c r="F24" s="48"/>
      <c r="G24" s="78" t="s">
        <v>130</v>
      </c>
      <c r="H24" s="79"/>
      <c r="I24" s="45">
        <v>0</v>
      </c>
      <c r="J24" s="28"/>
    </row>
    <row r="25" spans="6:10" ht="15" customHeight="1">
      <c r="F25" s="49"/>
      <c r="G25" s="78" t="s">
        <v>131</v>
      </c>
      <c r="H25" s="79"/>
      <c r="I25" s="45">
        <v>0</v>
      </c>
      <c r="J25" s="28"/>
    </row>
    <row r="26" spans="1:9" ht="12.75">
      <c r="A26" s="36"/>
      <c r="B26" s="36"/>
      <c r="C26" s="36"/>
      <c r="G26" s="7"/>
      <c r="H26" s="7"/>
      <c r="I26" s="7"/>
    </row>
    <row r="27" spans="1:9" ht="15" customHeight="1">
      <c r="A27" s="80" t="s">
        <v>103</v>
      </c>
      <c r="B27" s="81"/>
      <c r="C27" s="50">
        <f>SUM('Stavební rozpočet'!Z12:Z32)</f>
        <v>0</v>
      </c>
      <c r="D27" s="44"/>
      <c r="E27" s="36"/>
      <c r="F27" s="36"/>
      <c r="G27" s="36"/>
      <c r="H27" s="36"/>
      <c r="I27" s="36"/>
    </row>
    <row r="28" spans="1:10" ht="15" customHeight="1">
      <c r="A28" s="80" t="s">
        <v>104</v>
      </c>
      <c r="B28" s="81"/>
      <c r="C28" s="50">
        <f>SUM('Stavební rozpočet'!AA12:AA32)</f>
        <v>0</v>
      </c>
      <c r="D28" s="80" t="s">
        <v>117</v>
      </c>
      <c r="E28" s="81"/>
      <c r="F28" s="50">
        <f>ROUND(C28*(15/100),2)</f>
        <v>0</v>
      </c>
      <c r="G28" s="80" t="s">
        <v>132</v>
      </c>
      <c r="H28" s="81"/>
      <c r="I28" s="50">
        <f>SUM(C27:C29)</f>
        <v>0</v>
      </c>
      <c r="J28" s="28"/>
    </row>
    <row r="29" spans="1:10" ht="15" customHeight="1">
      <c r="A29" s="80" t="s">
        <v>105</v>
      </c>
      <c r="B29" s="81"/>
      <c r="C29" s="50">
        <f>SUM('Stavební rozpočet'!AB12:AB32)+(F22+I22+F23+I23+I24+I25)</f>
        <v>0</v>
      </c>
      <c r="D29" s="80" t="s">
        <v>118</v>
      </c>
      <c r="E29" s="81"/>
      <c r="F29" s="50">
        <f>ROUND(C29*(21/100),2)</f>
        <v>0</v>
      </c>
      <c r="G29" s="80" t="s">
        <v>133</v>
      </c>
      <c r="H29" s="81"/>
      <c r="I29" s="50">
        <f>SUM(F28:F29)+I28</f>
        <v>0</v>
      </c>
      <c r="J29" s="28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82" t="s">
        <v>106</v>
      </c>
      <c r="B31" s="83"/>
      <c r="C31" s="84"/>
      <c r="D31" s="82" t="s">
        <v>119</v>
      </c>
      <c r="E31" s="83"/>
      <c r="F31" s="84"/>
      <c r="G31" s="82" t="s">
        <v>134</v>
      </c>
      <c r="H31" s="83"/>
      <c r="I31" s="84"/>
      <c r="J31" s="29"/>
    </row>
    <row r="32" spans="1:10" ht="14.25" customHeight="1">
      <c r="A32" s="85"/>
      <c r="B32" s="86"/>
      <c r="C32" s="87"/>
      <c r="D32" s="85"/>
      <c r="E32" s="86"/>
      <c r="F32" s="87"/>
      <c r="G32" s="85"/>
      <c r="H32" s="86"/>
      <c r="I32" s="87"/>
      <c r="J32" s="29"/>
    </row>
    <row r="33" spans="1:10" ht="14.25" customHeight="1">
      <c r="A33" s="85"/>
      <c r="B33" s="86"/>
      <c r="C33" s="87"/>
      <c r="D33" s="85"/>
      <c r="E33" s="86"/>
      <c r="F33" s="87"/>
      <c r="G33" s="85"/>
      <c r="H33" s="86"/>
      <c r="I33" s="87"/>
      <c r="J33" s="29"/>
    </row>
    <row r="34" spans="1:10" ht="14.25" customHeight="1">
      <c r="A34" s="85"/>
      <c r="B34" s="86"/>
      <c r="C34" s="87"/>
      <c r="D34" s="85"/>
      <c r="E34" s="86"/>
      <c r="F34" s="87"/>
      <c r="G34" s="85"/>
      <c r="H34" s="86"/>
      <c r="I34" s="87"/>
      <c r="J34" s="29"/>
    </row>
    <row r="35" spans="1:10" ht="14.25" customHeight="1">
      <c r="A35" s="88" t="s">
        <v>107</v>
      </c>
      <c r="B35" s="89"/>
      <c r="C35" s="90"/>
      <c r="D35" s="88" t="s">
        <v>107</v>
      </c>
      <c r="E35" s="89"/>
      <c r="F35" s="90"/>
      <c r="G35" s="88" t="s">
        <v>107</v>
      </c>
      <c r="H35" s="89"/>
      <c r="I35" s="90"/>
      <c r="J35" s="29"/>
    </row>
    <row r="36" spans="1:9" ht="11.25" customHeight="1">
      <c r="A36" s="41" t="s">
        <v>20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59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E2:E3"/>
    <mergeCell ref="F2:G3"/>
    <mergeCell ref="H2:H3"/>
    <mergeCell ref="I2:I3"/>
    <mergeCell ref="C2:D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zoomScalePageLayoutView="0" workbookViewId="0" topLeftCell="A1">
      <selection activeCell="D2" sqref="D2:D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12.75">
      <c r="A2" s="54" t="s">
        <v>140</v>
      </c>
      <c r="B2" s="55"/>
      <c r="C2" s="55"/>
      <c r="D2" s="62" t="s">
        <v>158</v>
      </c>
      <c r="E2" s="94" t="s">
        <v>59</v>
      </c>
      <c r="F2" s="55"/>
      <c r="G2" s="94"/>
      <c r="H2" s="55"/>
      <c r="I2" s="58" t="s">
        <v>145</v>
      </c>
      <c r="J2" s="59" t="s">
        <v>153</v>
      </c>
      <c r="K2" s="57"/>
      <c r="L2" s="59"/>
      <c r="M2" s="57"/>
      <c r="N2" s="28"/>
    </row>
    <row r="3" spans="1:14" ht="12.75">
      <c r="A3" s="56"/>
      <c r="B3" s="57"/>
      <c r="C3" s="57"/>
      <c r="D3" s="93"/>
      <c r="E3" s="57"/>
      <c r="F3" s="57"/>
      <c r="G3" s="57"/>
      <c r="H3" s="57"/>
      <c r="I3" s="57"/>
      <c r="J3" s="57"/>
      <c r="K3" s="57"/>
      <c r="L3" s="57"/>
      <c r="M3" s="57"/>
      <c r="N3" s="28"/>
    </row>
    <row r="4" spans="1:14" ht="12.75">
      <c r="A4" s="64" t="s">
        <v>141</v>
      </c>
      <c r="B4" s="57"/>
      <c r="C4" s="57"/>
      <c r="D4" s="59"/>
      <c r="E4" s="67" t="s">
        <v>142</v>
      </c>
      <c r="F4" s="57"/>
      <c r="G4" s="66"/>
      <c r="H4" s="57"/>
      <c r="I4" s="59" t="s">
        <v>156</v>
      </c>
      <c r="J4" s="59"/>
      <c r="K4" s="57"/>
      <c r="L4" s="57"/>
      <c r="M4" s="61"/>
      <c r="N4" s="28"/>
    </row>
    <row r="5" spans="1:14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1"/>
      <c r="N5" s="28"/>
    </row>
    <row r="6" spans="1:14" ht="12.75">
      <c r="A6" s="64" t="s">
        <v>147</v>
      </c>
      <c r="B6" s="57"/>
      <c r="C6" s="57"/>
      <c r="D6" s="59" t="s">
        <v>154</v>
      </c>
      <c r="E6" s="67" t="s">
        <v>143</v>
      </c>
      <c r="F6" s="57"/>
      <c r="G6" s="66"/>
      <c r="H6" s="57"/>
      <c r="I6" s="59" t="s">
        <v>155</v>
      </c>
      <c r="J6" s="59"/>
      <c r="K6" s="57"/>
      <c r="L6" s="57"/>
      <c r="M6" s="61"/>
      <c r="N6" s="28"/>
    </row>
    <row r="7" spans="1:14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61"/>
      <c r="N7" s="28"/>
    </row>
    <row r="8" spans="1:14" ht="12.75">
      <c r="A8" s="64" t="s">
        <v>148</v>
      </c>
      <c r="B8" s="57"/>
      <c r="C8" s="57"/>
      <c r="D8" s="59"/>
      <c r="E8" s="67" t="s">
        <v>60</v>
      </c>
      <c r="F8" s="57"/>
      <c r="G8" s="66"/>
      <c r="H8" s="57"/>
      <c r="I8" s="59" t="s">
        <v>71</v>
      </c>
      <c r="J8" s="59"/>
      <c r="K8" s="57"/>
      <c r="L8" s="57"/>
      <c r="M8" s="61"/>
      <c r="N8" s="28"/>
    </row>
    <row r="9" spans="1:14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28"/>
    </row>
    <row r="10" spans="1:14" ht="12.75">
      <c r="A10" s="1" t="s">
        <v>1</v>
      </c>
      <c r="B10" s="9" t="s">
        <v>21</v>
      </c>
      <c r="C10" s="9" t="s">
        <v>22</v>
      </c>
      <c r="D10" s="9" t="s">
        <v>42</v>
      </c>
      <c r="E10" s="9" t="s">
        <v>61</v>
      </c>
      <c r="F10" s="14" t="s">
        <v>65</v>
      </c>
      <c r="G10" s="17" t="s">
        <v>66</v>
      </c>
      <c r="H10" s="100" t="s">
        <v>68</v>
      </c>
      <c r="I10" s="101"/>
      <c r="J10" s="102"/>
      <c r="K10" s="100" t="s">
        <v>74</v>
      </c>
      <c r="L10" s="102"/>
      <c r="M10" s="24" t="s">
        <v>75</v>
      </c>
      <c r="N10" s="29"/>
    </row>
    <row r="11" spans="1:24" ht="12.75">
      <c r="A11" s="2" t="s">
        <v>2</v>
      </c>
      <c r="B11" s="10" t="s">
        <v>2</v>
      </c>
      <c r="C11" s="10" t="s">
        <v>2</v>
      </c>
      <c r="D11" s="13" t="s">
        <v>43</v>
      </c>
      <c r="E11" s="10" t="s">
        <v>2</v>
      </c>
      <c r="F11" s="10" t="s">
        <v>2</v>
      </c>
      <c r="G11" s="18" t="s">
        <v>67</v>
      </c>
      <c r="H11" s="19" t="s">
        <v>69</v>
      </c>
      <c r="I11" s="20" t="s">
        <v>72</v>
      </c>
      <c r="J11" s="21" t="s">
        <v>73</v>
      </c>
      <c r="K11" s="19" t="s">
        <v>66</v>
      </c>
      <c r="L11" s="21" t="s">
        <v>73</v>
      </c>
      <c r="M11" s="25" t="s">
        <v>76</v>
      </c>
      <c r="N11" s="29"/>
      <c r="P11" s="23" t="s">
        <v>78</v>
      </c>
      <c r="Q11" s="23" t="s">
        <v>79</v>
      </c>
      <c r="R11" s="23" t="s">
        <v>80</v>
      </c>
      <c r="S11" s="23" t="s">
        <v>81</v>
      </c>
      <c r="T11" s="23" t="s">
        <v>82</v>
      </c>
      <c r="U11" s="23" t="s">
        <v>83</v>
      </c>
      <c r="V11" s="23" t="s">
        <v>84</v>
      </c>
      <c r="W11" s="23" t="s">
        <v>85</v>
      </c>
      <c r="X11" s="23" t="s">
        <v>86</v>
      </c>
    </row>
    <row r="12" spans="1:37" ht="12.75">
      <c r="A12" s="3"/>
      <c r="B12" s="11"/>
      <c r="C12" s="11" t="s">
        <v>23</v>
      </c>
      <c r="D12" s="103" t="s">
        <v>44</v>
      </c>
      <c r="E12" s="104"/>
      <c r="F12" s="104"/>
      <c r="G12" s="104"/>
      <c r="H12" s="32">
        <f>SUM(H13:H13)</f>
        <v>0</v>
      </c>
      <c r="I12" s="32">
        <f>SUM(I13:I13)</f>
        <v>0</v>
      </c>
      <c r="J12" s="32">
        <f>H12+I12</f>
        <v>0</v>
      </c>
      <c r="K12" s="22"/>
      <c r="L12" s="32">
        <f>SUM(L13:L13)</f>
        <v>0</v>
      </c>
      <c r="M12" s="22"/>
      <c r="Y12" s="23"/>
      <c r="AI12" s="33">
        <f>SUM(Z13:Z13)</f>
        <v>0</v>
      </c>
      <c r="AJ12" s="33">
        <f>SUM(AA13:AA13)</f>
        <v>0</v>
      </c>
      <c r="AK12" s="33">
        <f>SUM(AB13:AB13)</f>
        <v>0</v>
      </c>
    </row>
    <row r="13" spans="1:48" ht="12.75">
      <c r="A13" s="4" t="s">
        <v>3</v>
      </c>
      <c r="B13" s="4"/>
      <c r="C13" s="4" t="s">
        <v>24</v>
      </c>
      <c r="D13" s="4" t="s">
        <v>45</v>
      </c>
      <c r="E13" s="4" t="s">
        <v>62</v>
      </c>
      <c r="F13" s="15">
        <v>4.5</v>
      </c>
      <c r="G13" s="15">
        <v>0</v>
      </c>
      <c r="H13" s="15">
        <f>F13*AE13</f>
        <v>0</v>
      </c>
      <c r="I13" s="15">
        <f>J13-H13</f>
        <v>0</v>
      </c>
      <c r="J13" s="15">
        <f>F13*G13</f>
        <v>0</v>
      </c>
      <c r="K13" s="15">
        <v>0</v>
      </c>
      <c r="L13" s="15">
        <f>F13*K13</f>
        <v>0</v>
      </c>
      <c r="M13" s="26" t="s">
        <v>77</v>
      </c>
      <c r="P13" s="30">
        <f>IF(AG13="5",J13,0)</f>
        <v>0</v>
      </c>
      <c r="R13" s="30">
        <f>IF(AG13="1",H13,0)</f>
        <v>0</v>
      </c>
      <c r="S13" s="30">
        <f>IF(AG13="1",I13,0)</f>
        <v>0</v>
      </c>
      <c r="T13" s="30">
        <f>IF(AG13="7",H13,0)</f>
        <v>0</v>
      </c>
      <c r="U13" s="30">
        <f>IF(AG13="7",I13,0)</f>
        <v>0</v>
      </c>
      <c r="V13" s="30">
        <f>IF(AG13="2",H13,0)</f>
        <v>0</v>
      </c>
      <c r="W13" s="30">
        <f>IF(AG13="2",I13,0)</f>
        <v>0</v>
      </c>
      <c r="X13" s="30">
        <f>IF(AG13="0",J13,0)</f>
        <v>0</v>
      </c>
      <c r="Y13" s="23"/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21</v>
      </c>
      <c r="AE13" s="30">
        <f>G13*0</f>
        <v>0</v>
      </c>
      <c r="AF13" s="30">
        <f>G13*(1-0)</f>
        <v>0</v>
      </c>
      <c r="AG13" s="26" t="s">
        <v>3</v>
      </c>
      <c r="AM13" s="30">
        <f>F13*AE13</f>
        <v>0</v>
      </c>
      <c r="AN13" s="30">
        <f>F13*AF13</f>
        <v>0</v>
      </c>
      <c r="AO13" s="31" t="s">
        <v>87</v>
      </c>
      <c r="AP13" s="31" t="s">
        <v>87</v>
      </c>
      <c r="AQ13" s="23" t="s">
        <v>94</v>
      </c>
      <c r="AS13" s="30">
        <f>AM13+AN13</f>
        <v>0</v>
      </c>
      <c r="AT13" s="30">
        <f>G13/(100-AU13)*100</f>
        <v>0</v>
      </c>
      <c r="AU13" s="30">
        <v>0</v>
      </c>
      <c r="AV13" s="30">
        <f>L13</f>
        <v>0</v>
      </c>
    </row>
    <row r="14" spans="1:37" ht="12.75">
      <c r="A14" s="5"/>
      <c r="B14" s="12"/>
      <c r="C14" s="12" t="s">
        <v>25</v>
      </c>
      <c r="D14" s="105" t="s">
        <v>46</v>
      </c>
      <c r="E14" s="106"/>
      <c r="F14" s="106"/>
      <c r="G14" s="106"/>
      <c r="H14" s="33">
        <f>SUM(H15:H17)</f>
        <v>0</v>
      </c>
      <c r="I14" s="33">
        <f>SUM(I15:I17)</f>
        <v>0</v>
      </c>
      <c r="J14" s="33">
        <f>H14+I14</f>
        <v>0</v>
      </c>
      <c r="K14" s="23"/>
      <c r="L14" s="33">
        <f>SUM(L15:L17)</f>
        <v>0.23299999999999998</v>
      </c>
      <c r="M14" s="23"/>
      <c r="Y14" s="23"/>
      <c r="AI14" s="33">
        <f>SUM(Z15:Z17)</f>
        <v>0</v>
      </c>
      <c r="AJ14" s="33">
        <f>SUM(AA15:AA17)</f>
        <v>0</v>
      </c>
      <c r="AK14" s="33">
        <f>SUM(AB15:AB17)</f>
        <v>0</v>
      </c>
    </row>
    <row r="15" spans="1:48" ht="12.75">
      <c r="A15" s="4" t="s">
        <v>4</v>
      </c>
      <c r="B15" s="4"/>
      <c r="C15" s="4" t="s">
        <v>26</v>
      </c>
      <c r="D15" s="4" t="s">
        <v>152</v>
      </c>
      <c r="E15" s="4" t="s">
        <v>63</v>
      </c>
      <c r="F15" s="15">
        <v>100</v>
      </c>
      <c r="G15" s="15">
        <v>0</v>
      </c>
      <c r="H15" s="15">
        <f>F15*AE15</f>
        <v>0</v>
      </c>
      <c r="I15" s="15">
        <f>J15-H15</f>
        <v>0</v>
      </c>
      <c r="J15" s="15">
        <f>F15*G15</f>
        <v>0</v>
      </c>
      <c r="K15" s="15">
        <v>0.00023</v>
      </c>
      <c r="L15" s="15">
        <f>F15*K15</f>
        <v>0.023</v>
      </c>
      <c r="M15" s="26" t="s">
        <v>77</v>
      </c>
      <c r="P15" s="30">
        <f>IF(AG15="5",J15,0)</f>
        <v>0</v>
      </c>
      <c r="R15" s="30">
        <f>IF(AG15="1",H15,0)</f>
        <v>0</v>
      </c>
      <c r="S15" s="30">
        <f>IF(AG15="1",I15,0)</f>
        <v>0</v>
      </c>
      <c r="T15" s="30">
        <f>IF(AG15="7",H15,0)</f>
        <v>0</v>
      </c>
      <c r="U15" s="30">
        <f>IF(AG15="7",I15,0)</f>
        <v>0</v>
      </c>
      <c r="V15" s="30">
        <f>IF(AG15="2",H15,0)</f>
        <v>0</v>
      </c>
      <c r="W15" s="30">
        <f>IF(AG15="2",I15,0)</f>
        <v>0</v>
      </c>
      <c r="X15" s="30">
        <f>IF(AG15="0",J15,0)</f>
        <v>0</v>
      </c>
      <c r="Y15" s="23"/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21</v>
      </c>
      <c r="AE15" s="30">
        <f>G15*0.50659362953946</f>
        <v>0</v>
      </c>
      <c r="AF15" s="30">
        <f>G15*(1-0.50659362953946)</f>
        <v>0</v>
      </c>
      <c r="AG15" s="26" t="s">
        <v>3</v>
      </c>
      <c r="AM15" s="30">
        <f>F15*AE15</f>
        <v>0</v>
      </c>
      <c r="AN15" s="30">
        <f>F15*AF15</f>
        <v>0</v>
      </c>
      <c r="AO15" s="31" t="s">
        <v>88</v>
      </c>
      <c r="AP15" s="31" t="s">
        <v>91</v>
      </c>
      <c r="AQ15" s="23" t="s">
        <v>94</v>
      </c>
      <c r="AS15" s="30">
        <f>AM15+AN15</f>
        <v>0</v>
      </c>
      <c r="AT15" s="30">
        <f>G15/(100-AU15)*100</f>
        <v>0</v>
      </c>
      <c r="AU15" s="30">
        <v>0</v>
      </c>
      <c r="AV15" s="30">
        <f>L15</f>
        <v>0.023</v>
      </c>
    </row>
    <row r="16" spans="1:48" ht="12.75">
      <c r="A16" s="4" t="s">
        <v>5</v>
      </c>
      <c r="B16" s="4"/>
      <c r="C16" s="4" t="s">
        <v>27</v>
      </c>
      <c r="D16" s="4" t="s">
        <v>151</v>
      </c>
      <c r="E16" s="4" t="s">
        <v>63</v>
      </c>
      <c r="F16" s="15">
        <v>100</v>
      </c>
      <c r="G16" s="15">
        <v>0</v>
      </c>
      <c r="H16" s="15">
        <f>F16*AE16</f>
        <v>0</v>
      </c>
      <c r="I16" s="15">
        <f>J16-H16</f>
        <v>0</v>
      </c>
      <c r="J16" s="15">
        <f>F16*G16</f>
        <v>0</v>
      </c>
      <c r="K16" s="15">
        <v>0.0021</v>
      </c>
      <c r="L16" s="15">
        <f>F16*K16</f>
        <v>0.21</v>
      </c>
      <c r="M16" s="26" t="s">
        <v>77</v>
      </c>
      <c r="P16" s="30">
        <f>IF(AG16="5",J16,0)</f>
        <v>0</v>
      </c>
      <c r="R16" s="30">
        <f>IF(AG16="1",H16,0)</f>
        <v>0</v>
      </c>
      <c r="S16" s="30">
        <f>IF(AG16="1",I16,0)</f>
        <v>0</v>
      </c>
      <c r="T16" s="30">
        <f>IF(AG16="7",H16,0)</f>
        <v>0</v>
      </c>
      <c r="U16" s="30">
        <f>IF(AG16="7",I16,0)</f>
        <v>0</v>
      </c>
      <c r="V16" s="30">
        <f>IF(AG16="2",H16,0)</f>
        <v>0</v>
      </c>
      <c r="W16" s="30">
        <f>IF(AG16="2",I16,0)</f>
        <v>0</v>
      </c>
      <c r="X16" s="30">
        <f>IF(AG16="0",J16,0)</f>
        <v>0</v>
      </c>
      <c r="Y16" s="23"/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30">
        <v>21</v>
      </c>
      <c r="AE16" s="30">
        <f>G16*0.524887640449438</f>
        <v>0</v>
      </c>
      <c r="AF16" s="30">
        <f>G16*(1-0.524887640449438)</f>
        <v>0</v>
      </c>
      <c r="AG16" s="26" t="s">
        <v>3</v>
      </c>
      <c r="AM16" s="30">
        <f>F16*AE16</f>
        <v>0</v>
      </c>
      <c r="AN16" s="30">
        <f>F16*AF16</f>
        <v>0</v>
      </c>
      <c r="AO16" s="31" t="s">
        <v>88</v>
      </c>
      <c r="AP16" s="31" t="s">
        <v>91</v>
      </c>
      <c r="AQ16" s="23" t="s">
        <v>94</v>
      </c>
      <c r="AS16" s="30">
        <f>AM16+AN16</f>
        <v>0</v>
      </c>
      <c r="AT16" s="30">
        <f>G16/(100-AU16)*100</f>
        <v>0</v>
      </c>
      <c r="AU16" s="30">
        <v>0</v>
      </c>
      <c r="AV16" s="30">
        <f>L16</f>
        <v>0.21</v>
      </c>
    </row>
    <row r="17" spans="1:48" ht="12.75">
      <c r="A17" s="4" t="s">
        <v>6</v>
      </c>
      <c r="B17" s="4"/>
      <c r="C17" s="4" t="s">
        <v>28</v>
      </c>
      <c r="D17" s="4" t="s">
        <v>47</v>
      </c>
      <c r="E17" s="4" t="s">
        <v>64</v>
      </c>
      <c r="F17" s="15">
        <v>1</v>
      </c>
      <c r="G17" s="15">
        <v>0</v>
      </c>
      <c r="H17" s="15">
        <f>F17*AE17</f>
        <v>0</v>
      </c>
      <c r="I17" s="15">
        <f>J17-H17</f>
        <v>0</v>
      </c>
      <c r="J17" s="15">
        <f>F17*G17</f>
        <v>0</v>
      </c>
      <c r="K17" s="15">
        <v>0</v>
      </c>
      <c r="L17" s="15">
        <f>F17*K17</f>
        <v>0</v>
      </c>
      <c r="M17" s="26" t="s">
        <v>77</v>
      </c>
      <c r="P17" s="30">
        <f>IF(AG17="5",J17,0)</f>
        <v>0</v>
      </c>
      <c r="R17" s="30">
        <f>IF(AG17="1",H17,0)</f>
        <v>0</v>
      </c>
      <c r="S17" s="30">
        <f>IF(AG17="1",I17,0)</f>
        <v>0</v>
      </c>
      <c r="T17" s="30">
        <f>IF(AG17="7",H17,0)</f>
        <v>0</v>
      </c>
      <c r="U17" s="30">
        <f>IF(AG17="7",I17,0)</f>
        <v>0</v>
      </c>
      <c r="V17" s="30">
        <f>IF(AG17="2",H17,0)</f>
        <v>0</v>
      </c>
      <c r="W17" s="30">
        <f>IF(AG17="2",I17,0)</f>
        <v>0</v>
      </c>
      <c r="X17" s="30">
        <f>IF(AG17="0",J17,0)</f>
        <v>0</v>
      </c>
      <c r="Y17" s="23"/>
      <c r="Z17" s="15">
        <f>IF(AD17=0,J17,0)</f>
        <v>0</v>
      </c>
      <c r="AA17" s="15">
        <f>IF(AD17=15,J17,0)</f>
        <v>0</v>
      </c>
      <c r="AB17" s="15">
        <f>IF(AD17=21,J17,0)</f>
        <v>0</v>
      </c>
      <c r="AD17" s="30">
        <v>21</v>
      </c>
      <c r="AE17" s="30">
        <f>G17*0</f>
        <v>0</v>
      </c>
      <c r="AF17" s="30">
        <f>G17*(1-0)</f>
        <v>0</v>
      </c>
      <c r="AG17" s="26" t="s">
        <v>7</v>
      </c>
      <c r="AM17" s="30">
        <f>F17*AE17</f>
        <v>0</v>
      </c>
      <c r="AN17" s="30">
        <f>F17*AF17</f>
        <v>0</v>
      </c>
      <c r="AO17" s="31" t="s">
        <v>88</v>
      </c>
      <c r="AP17" s="31" t="s">
        <v>91</v>
      </c>
      <c r="AQ17" s="23" t="s">
        <v>94</v>
      </c>
      <c r="AS17" s="30">
        <f>AM17+AN17</f>
        <v>0</v>
      </c>
      <c r="AT17" s="30">
        <f>G17/(100-AU17)*100</f>
        <v>0</v>
      </c>
      <c r="AU17" s="30">
        <v>0</v>
      </c>
      <c r="AV17" s="30">
        <f>L17</f>
        <v>0</v>
      </c>
    </row>
    <row r="18" spans="1:37" ht="12.75">
      <c r="A18" s="5"/>
      <c r="B18" s="12"/>
      <c r="C18" s="12" t="s">
        <v>29</v>
      </c>
      <c r="D18" s="105" t="s">
        <v>48</v>
      </c>
      <c r="E18" s="106"/>
      <c r="F18" s="106"/>
      <c r="G18" s="106"/>
      <c r="H18" s="33">
        <f>SUM(H19:H29)</f>
        <v>0</v>
      </c>
      <c r="I18" s="33">
        <f>SUM(I19:I29)</f>
        <v>0</v>
      </c>
      <c r="J18" s="33">
        <f>H18+I18</f>
        <v>0</v>
      </c>
      <c r="K18" s="23"/>
      <c r="L18" s="33">
        <f>SUM(L19:L29)</f>
        <v>2.4894000000000007</v>
      </c>
      <c r="M18" s="23"/>
      <c r="Y18" s="23"/>
      <c r="AI18" s="33">
        <f>SUM(Z19:Z29)</f>
        <v>0</v>
      </c>
      <c r="AJ18" s="33">
        <f>SUM(AA19:AA29)</f>
        <v>0</v>
      </c>
      <c r="AK18" s="33">
        <f>SUM(AB19:AB29)</f>
        <v>0</v>
      </c>
    </row>
    <row r="19" spans="1:48" ht="12.75">
      <c r="A19" s="4" t="s">
        <v>7</v>
      </c>
      <c r="B19" s="4"/>
      <c r="C19" s="4" t="s">
        <v>30</v>
      </c>
      <c r="D19" s="4" t="s">
        <v>49</v>
      </c>
      <c r="E19" s="4" t="s">
        <v>63</v>
      </c>
      <c r="F19" s="15">
        <v>100</v>
      </c>
      <c r="G19" s="15">
        <v>0</v>
      </c>
      <c r="H19" s="15">
        <f aca="true" t="shared" si="0" ref="H19:H29">F19*AE19</f>
        <v>0</v>
      </c>
      <c r="I19" s="15">
        <f aca="true" t="shared" si="1" ref="I19:I29">J19-H19</f>
        <v>0</v>
      </c>
      <c r="J19" s="15">
        <f aca="true" t="shared" si="2" ref="J19:J29">F19*G19</f>
        <v>0</v>
      </c>
      <c r="K19" s="15">
        <v>0</v>
      </c>
      <c r="L19" s="15">
        <f aca="true" t="shared" si="3" ref="L19:L29">F19*K19</f>
        <v>0</v>
      </c>
      <c r="M19" s="26" t="s">
        <v>77</v>
      </c>
      <c r="P19" s="30">
        <f aca="true" t="shared" si="4" ref="P19:P29">IF(AG19="5",J19,0)</f>
        <v>0</v>
      </c>
      <c r="R19" s="30">
        <f aca="true" t="shared" si="5" ref="R19:R29">IF(AG19="1",H19,0)</f>
        <v>0</v>
      </c>
      <c r="S19" s="30">
        <f aca="true" t="shared" si="6" ref="S19:S29">IF(AG19="1",I19,0)</f>
        <v>0</v>
      </c>
      <c r="T19" s="30">
        <f aca="true" t="shared" si="7" ref="T19:T29">IF(AG19="7",H19,0)</f>
        <v>0</v>
      </c>
      <c r="U19" s="30">
        <f aca="true" t="shared" si="8" ref="U19:U29">IF(AG19="7",I19,0)</f>
        <v>0</v>
      </c>
      <c r="V19" s="30">
        <f aca="true" t="shared" si="9" ref="V19:V29">IF(AG19="2",H19,0)</f>
        <v>0</v>
      </c>
      <c r="W19" s="30">
        <f aca="true" t="shared" si="10" ref="W19:W29">IF(AG19="2",I19,0)</f>
        <v>0</v>
      </c>
      <c r="X19" s="30">
        <f aca="true" t="shared" si="11" ref="X19:X29">IF(AG19="0",J19,0)</f>
        <v>0</v>
      </c>
      <c r="Y19" s="23"/>
      <c r="Z19" s="15">
        <f aca="true" t="shared" si="12" ref="Z19:Z29">IF(AD19=0,J19,0)</f>
        <v>0</v>
      </c>
      <c r="AA19" s="15">
        <f aca="true" t="shared" si="13" ref="AA19:AA29">IF(AD19=15,J19,0)</f>
        <v>0</v>
      </c>
      <c r="AB19" s="15">
        <f aca="true" t="shared" si="14" ref="AB19:AB29">IF(AD19=21,J19,0)</f>
        <v>0</v>
      </c>
      <c r="AD19" s="30">
        <v>21</v>
      </c>
      <c r="AE19" s="30">
        <f>G19*0.00359856057576969</f>
        <v>0</v>
      </c>
      <c r="AF19" s="30">
        <f>G19*(1-0.00359856057576969)</f>
        <v>0</v>
      </c>
      <c r="AG19" s="26" t="s">
        <v>9</v>
      </c>
      <c r="AM19" s="30">
        <f aca="true" t="shared" si="15" ref="AM19:AM29">F19*AE19</f>
        <v>0</v>
      </c>
      <c r="AN19" s="30">
        <f aca="true" t="shared" si="16" ref="AN19:AN29">F19*AF19</f>
        <v>0</v>
      </c>
      <c r="AO19" s="31" t="s">
        <v>89</v>
      </c>
      <c r="AP19" s="31" t="s">
        <v>92</v>
      </c>
      <c r="AQ19" s="23" t="s">
        <v>94</v>
      </c>
      <c r="AS19" s="30">
        <f aca="true" t="shared" si="17" ref="AS19:AS29">AM19+AN19</f>
        <v>0</v>
      </c>
      <c r="AT19" s="30">
        <f aca="true" t="shared" si="18" ref="AT19:AT29">G19/(100-AU19)*100</f>
        <v>0</v>
      </c>
      <c r="AU19" s="30">
        <v>0</v>
      </c>
      <c r="AV19" s="30">
        <f aca="true" t="shared" si="19" ref="AV19:AV29">L19</f>
        <v>0</v>
      </c>
    </row>
    <row r="20" spans="1:48" ht="12.75">
      <c r="A20" s="4" t="s">
        <v>8</v>
      </c>
      <c r="B20" s="4"/>
      <c r="C20" s="4" t="s">
        <v>31</v>
      </c>
      <c r="D20" s="4" t="s">
        <v>50</v>
      </c>
      <c r="E20" s="4" t="s">
        <v>63</v>
      </c>
      <c r="F20" s="15">
        <v>95</v>
      </c>
      <c r="G20" s="15">
        <v>0</v>
      </c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v>0.00592</v>
      </c>
      <c r="L20" s="15">
        <f t="shared" si="3"/>
        <v>0.5624</v>
      </c>
      <c r="M20" s="26" t="s">
        <v>77</v>
      </c>
      <c r="P20" s="30">
        <f t="shared" si="4"/>
        <v>0</v>
      </c>
      <c r="R20" s="30">
        <f t="shared" si="5"/>
        <v>0</v>
      </c>
      <c r="S20" s="30">
        <f t="shared" si="6"/>
        <v>0</v>
      </c>
      <c r="T20" s="30">
        <f t="shared" si="7"/>
        <v>0</v>
      </c>
      <c r="U20" s="30">
        <f t="shared" si="8"/>
        <v>0</v>
      </c>
      <c r="V20" s="30">
        <f t="shared" si="9"/>
        <v>0</v>
      </c>
      <c r="W20" s="30">
        <f t="shared" si="10"/>
        <v>0</v>
      </c>
      <c r="X20" s="30">
        <f t="shared" si="11"/>
        <v>0</v>
      </c>
      <c r="Y20" s="23"/>
      <c r="Z20" s="15">
        <f t="shared" si="12"/>
        <v>0</v>
      </c>
      <c r="AA20" s="15">
        <f t="shared" si="13"/>
        <v>0</v>
      </c>
      <c r="AB20" s="15">
        <f t="shared" si="14"/>
        <v>0</v>
      </c>
      <c r="AD20" s="30">
        <v>21</v>
      </c>
      <c r="AE20" s="30">
        <f>G20*0.48957654723127</f>
        <v>0</v>
      </c>
      <c r="AF20" s="30">
        <f>G20*(1-0.48957654723127)</f>
        <v>0</v>
      </c>
      <c r="AG20" s="26" t="s">
        <v>9</v>
      </c>
      <c r="AM20" s="30">
        <f t="shared" si="15"/>
        <v>0</v>
      </c>
      <c r="AN20" s="30">
        <f t="shared" si="16"/>
        <v>0</v>
      </c>
      <c r="AO20" s="31" t="s">
        <v>89</v>
      </c>
      <c r="AP20" s="31" t="s">
        <v>92</v>
      </c>
      <c r="AQ20" s="23" t="s">
        <v>94</v>
      </c>
      <c r="AS20" s="30">
        <f t="shared" si="17"/>
        <v>0</v>
      </c>
      <c r="AT20" s="30">
        <f t="shared" si="18"/>
        <v>0</v>
      </c>
      <c r="AU20" s="30">
        <v>0</v>
      </c>
      <c r="AV20" s="30">
        <f t="shared" si="19"/>
        <v>0.5624</v>
      </c>
    </row>
    <row r="21" spans="1:48" ht="12.75">
      <c r="A21" s="4" t="s">
        <v>9</v>
      </c>
      <c r="B21" s="4"/>
      <c r="C21" s="4" t="s">
        <v>32</v>
      </c>
      <c r="D21" s="4" t="s">
        <v>149</v>
      </c>
      <c r="E21" s="4" t="s">
        <v>63</v>
      </c>
      <c r="F21" s="15">
        <v>2880</v>
      </c>
      <c r="G21" s="15">
        <v>0</v>
      </c>
      <c r="H21" s="15">
        <f t="shared" si="0"/>
        <v>0</v>
      </c>
      <c r="I21" s="15">
        <f t="shared" si="1"/>
        <v>0</v>
      </c>
      <c r="J21" s="15">
        <f t="shared" si="2"/>
        <v>0</v>
      </c>
      <c r="K21" s="15">
        <v>0.00015</v>
      </c>
      <c r="L21" s="15">
        <f t="shared" si="3"/>
        <v>0.43199999999999994</v>
      </c>
      <c r="M21" s="26" t="s">
        <v>77</v>
      </c>
      <c r="P21" s="30">
        <f t="shared" si="4"/>
        <v>0</v>
      </c>
      <c r="R21" s="30">
        <f t="shared" si="5"/>
        <v>0</v>
      </c>
      <c r="S21" s="30">
        <f t="shared" si="6"/>
        <v>0</v>
      </c>
      <c r="T21" s="30">
        <f t="shared" si="7"/>
        <v>0</v>
      </c>
      <c r="U21" s="30">
        <f t="shared" si="8"/>
        <v>0</v>
      </c>
      <c r="V21" s="30">
        <f t="shared" si="9"/>
        <v>0</v>
      </c>
      <c r="W21" s="30">
        <f t="shared" si="10"/>
        <v>0</v>
      </c>
      <c r="X21" s="30">
        <f t="shared" si="11"/>
        <v>0</v>
      </c>
      <c r="Y21" s="23"/>
      <c r="Z21" s="15">
        <f t="shared" si="12"/>
        <v>0</v>
      </c>
      <c r="AA21" s="15">
        <f t="shared" si="13"/>
        <v>0</v>
      </c>
      <c r="AB21" s="15">
        <f t="shared" si="14"/>
        <v>0</v>
      </c>
      <c r="AD21" s="30">
        <v>21</v>
      </c>
      <c r="AE21" s="30">
        <f>G21*0.322410766530135</f>
        <v>0</v>
      </c>
      <c r="AF21" s="30">
        <f>G21*(1-0.322410766530135)</f>
        <v>0</v>
      </c>
      <c r="AG21" s="26" t="s">
        <v>9</v>
      </c>
      <c r="AM21" s="30">
        <f t="shared" si="15"/>
        <v>0</v>
      </c>
      <c r="AN21" s="30">
        <f t="shared" si="16"/>
        <v>0</v>
      </c>
      <c r="AO21" s="31" t="s">
        <v>89</v>
      </c>
      <c r="AP21" s="31" t="s">
        <v>92</v>
      </c>
      <c r="AQ21" s="23" t="s">
        <v>94</v>
      </c>
      <c r="AS21" s="30">
        <f t="shared" si="17"/>
        <v>0</v>
      </c>
      <c r="AT21" s="30">
        <f t="shared" si="18"/>
        <v>0</v>
      </c>
      <c r="AU21" s="30">
        <v>0</v>
      </c>
      <c r="AV21" s="30">
        <f t="shared" si="19"/>
        <v>0.43199999999999994</v>
      </c>
    </row>
    <row r="22" spans="1:48" ht="12.75">
      <c r="A22" s="4" t="s">
        <v>10</v>
      </c>
      <c r="B22" s="4"/>
      <c r="C22" s="4" t="s">
        <v>33</v>
      </c>
      <c r="D22" s="4" t="s">
        <v>51</v>
      </c>
      <c r="E22" s="4" t="s">
        <v>63</v>
      </c>
      <c r="F22" s="15">
        <v>160</v>
      </c>
      <c r="G22" s="15">
        <v>0</v>
      </c>
      <c r="H22" s="15">
        <f t="shared" si="0"/>
        <v>0</v>
      </c>
      <c r="I22" s="15">
        <f t="shared" si="1"/>
        <v>0</v>
      </c>
      <c r="J22" s="15">
        <f t="shared" si="2"/>
        <v>0</v>
      </c>
      <c r="K22" s="15">
        <v>0.00026</v>
      </c>
      <c r="L22" s="15">
        <f t="shared" si="3"/>
        <v>0.0416</v>
      </c>
      <c r="M22" s="26" t="s">
        <v>77</v>
      </c>
      <c r="P22" s="30">
        <f t="shared" si="4"/>
        <v>0</v>
      </c>
      <c r="R22" s="30">
        <f t="shared" si="5"/>
        <v>0</v>
      </c>
      <c r="S22" s="30">
        <f t="shared" si="6"/>
        <v>0</v>
      </c>
      <c r="T22" s="30">
        <f t="shared" si="7"/>
        <v>0</v>
      </c>
      <c r="U22" s="30">
        <f t="shared" si="8"/>
        <v>0</v>
      </c>
      <c r="V22" s="30">
        <f t="shared" si="9"/>
        <v>0</v>
      </c>
      <c r="W22" s="30">
        <f t="shared" si="10"/>
        <v>0</v>
      </c>
      <c r="X22" s="30">
        <f t="shared" si="11"/>
        <v>0</v>
      </c>
      <c r="Y22" s="23"/>
      <c r="Z22" s="15">
        <f t="shared" si="12"/>
        <v>0</v>
      </c>
      <c r="AA22" s="15">
        <f t="shared" si="13"/>
        <v>0</v>
      </c>
      <c r="AB22" s="15">
        <f t="shared" si="14"/>
        <v>0</v>
      </c>
      <c r="AD22" s="30">
        <v>21</v>
      </c>
      <c r="AE22" s="30">
        <f>G22*0.0924603174603174</f>
        <v>0</v>
      </c>
      <c r="AF22" s="30">
        <f>G22*(1-0.0924603174603174)</f>
        <v>0</v>
      </c>
      <c r="AG22" s="26" t="s">
        <v>9</v>
      </c>
      <c r="AM22" s="30">
        <f t="shared" si="15"/>
        <v>0</v>
      </c>
      <c r="AN22" s="30">
        <f t="shared" si="16"/>
        <v>0</v>
      </c>
      <c r="AO22" s="31" t="s">
        <v>89</v>
      </c>
      <c r="AP22" s="31" t="s">
        <v>92</v>
      </c>
      <c r="AQ22" s="23" t="s">
        <v>94</v>
      </c>
      <c r="AS22" s="30">
        <f t="shared" si="17"/>
        <v>0</v>
      </c>
      <c r="AT22" s="30">
        <f t="shared" si="18"/>
        <v>0</v>
      </c>
      <c r="AU22" s="30">
        <v>0</v>
      </c>
      <c r="AV22" s="30">
        <f t="shared" si="19"/>
        <v>0.0416</v>
      </c>
    </row>
    <row r="23" spans="1:48" ht="12.75">
      <c r="A23" s="4" t="s">
        <v>11</v>
      </c>
      <c r="B23" s="4"/>
      <c r="C23" s="4" t="s">
        <v>34</v>
      </c>
      <c r="D23" s="4" t="s">
        <v>150</v>
      </c>
      <c r="E23" s="4" t="s">
        <v>63</v>
      </c>
      <c r="F23" s="15">
        <v>2880</v>
      </c>
      <c r="G23" s="15">
        <v>0</v>
      </c>
      <c r="H23" s="15">
        <f t="shared" si="0"/>
        <v>0</v>
      </c>
      <c r="I23" s="15">
        <f t="shared" si="1"/>
        <v>0</v>
      </c>
      <c r="J23" s="15">
        <f t="shared" si="2"/>
        <v>0</v>
      </c>
      <c r="K23" s="15">
        <v>0.00039</v>
      </c>
      <c r="L23" s="15">
        <f t="shared" si="3"/>
        <v>1.1232</v>
      </c>
      <c r="M23" s="26" t="s">
        <v>77</v>
      </c>
      <c r="P23" s="30">
        <f t="shared" si="4"/>
        <v>0</v>
      </c>
      <c r="R23" s="30">
        <f t="shared" si="5"/>
        <v>0</v>
      </c>
      <c r="S23" s="30">
        <f t="shared" si="6"/>
        <v>0</v>
      </c>
      <c r="T23" s="30">
        <f t="shared" si="7"/>
        <v>0</v>
      </c>
      <c r="U23" s="30">
        <f t="shared" si="8"/>
        <v>0</v>
      </c>
      <c r="V23" s="30">
        <f t="shared" si="9"/>
        <v>0</v>
      </c>
      <c r="W23" s="30">
        <f t="shared" si="10"/>
        <v>0</v>
      </c>
      <c r="X23" s="30">
        <f t="shared" si="11"/>
        <v>0</v>
      </c>
      <c r="Y23" s="23"/>
      <c r="Z23" s="15">
        <f t="shared" si="12"/>
        <v>0</v>
      </c>
      <c r="AA23" s="15">
        <f t="shared" si="13"/>
        <v>0</v>
      </c>
      <c r="AB23" s="15">
        <f t="shared" si="14"/>
        <v>0</v>
      </c>
      <c r="AD23" s="30">
        <v>21</v>
      </c>
      <c r="AE23" s="30">
        <f>G23*0.230818965517241</f>
        <v>0</v>
      </c>
      <c r="AF23" s="30">
        <f>G23*(1-0.230818965517241)</f>
        <v>0</v>
      </c>
      <c r="AG23" s="26" t="s">
        <v>9</v>
      </c>
      <c r="AM23" s="30">
        <f t="shared" si="15"/>
        <v>0</v>
      </c>
      <c r="AN23" s="30">
        <f t="shared" si="16"/>
        <v>0</v>
      </c>
      <c r="AO23" s="31" t="s">
        <v>89</v>
      </c>
      <c r="AP23" s="31" t="s">
        <v>92</v>
      </c>
      <c r="AQ23" s="23" t="s">
        <v>94</v>
      </c>
      <c r="AS23" s="30">
        <f t="shared" si="17"/>
        <v>0</v>
      </c>
      <c r="AT23" s="30">
        <f t="shared" si="18"/>
        <v>0</v>
      </c>
      <c r="AU23" s="30">
        <v>0</v>
      </c>
      <c r="AV23" s="30">
        <f t="shared" si="19"/>
        <v>1.1232</v>
      </c>
    </row>
    <row r="24" spans="1:48" ht="12.75">
      <c r="A24" s="4" t="s">
        <v>12</v>
      </c>
      <c r="B24" s="4"/>
      <c r="C24" s="4" t="s">
        <v>35</v>
      </c>
      <c r="D24" s="4" t="s">
        <v>52</v>
      </c>
      <c r="E24" s="4" t="s">
        <v>63</v>
      </c>
      <c r="F24" s="15">
        <v>160</v>
      </c>
      <c r="G24" s="15">
        <v>0</v>
      </c>
      <c r="H24" s="15">
        <f t="shared" si="0"/>
        <v>0</v>
      </c>
      <c r="I24" s="15">
        <f t="shared" si="1"/>
        <v>0</v>
      </c>
      <c r="J24" s="15">
        <f t="shared" si="2"/>
        <v>0</v>
      </c>
      <c r="K24" s="15">
        <v>0.00022</v>
      </c>
      <c r="L24" s="15">
        <f t="shared" si="3"/>
        <v>0.0352</v>
      </c>
      <c r="M24" s="26" t="s">
        <v>77</v>
      </c>
      <c r="P24" s="30">
        <f t="shared" si="4"/>
        <v>0</v>
      </c>
      <c r="R24" s="30">
        <f t="shared" si="5"/>
        <v>0</v>
      </c>
      <c r="S24" s="30">
        <f t="shared" si="6"/>
        <v>0</v>
      </c>
      <c r="T24" s="30">
        <f t="shared" si="7"/>
        <v>0</v>
      </c>
      <c r="U24" s="30">
        <f t="shared" si="8"/>
        <v>0</v>
      </c>
      <c r="V24" s="30">
        <f t="shared" si="9"/>
        <v>0</v>
      </c>
      <c r="W24" s="30">
        <f t="shared" si="10"/>
        <v>0</v>
      </c>
      <c r="X24" s="30">
        <f t="shared" si="11"/>
        <v>0</v>
      </c>
      <c r="Y24" s="23"/>
      <c r="Z24" s="15">
        <f t="shared" si="12"/>
        <v>0</v>
      </c>
      <c r="AA24" s="15">
        <f t="shared" si="13"/>
        <v>0</v>
      </c>
      <c r="AB24" s="15">
        <f t="shared" si="14"/>
        <v>0</v>
      </c>
      <c r="AD24" s="30">
        <v>21</v>
      </c>
      <c r="AE24" s="30">
        <f>G24*0.601163339097626</f>
        <v>0</v>
      </c>
      <c r="AF24" s="30">
        <f>G24*(1-0.601163339097626)</f>
        <v>0</v>
      </c>
      <c r="AG24" s="26" t="s">
        <v>9</v>
      </c>
      <c r="AM24" s="30">
        <f t="shared" si="15"/>
        <v>0</v>
      </c>
      <c r="AN24" s="30">
        <f t="shared" si="16"/>
        <v>0</v>
      </c>
      <c r="AO24" s="31" t="s">
        <v>89</v>
      </c>
      <c r="AP24" s="31" t="s">
        <v>92</v>
      </c>
      <c r="AQ24" s="23" t="s">
        <v>94</v>
      </c>
      <c r="AS24" s="30">
        <f t="shared" si="17"/>
        <v>0</v>
      </c>
      <c r="AT24" s="30">
        <f t="shared" si="18"/>
        <v>0</v>
      </c>
      <c r="AU24" s="30">
        <v>0</v>
      </c>
      <c r="AV24" s="30">
        <f t="shared" si="19"/>
        <v>0.0352</v>
      </c>
    </row>
    <row r="25" spans="1:48" ht="12.75">
      <c r="A25" s="4" t="s">
        <v>13</v>
      </c>
      <c r="B25" s="4"/>
      <c r="C25" s="4" t="s">
        <v>36</v>
      </c>
      <c r="D25" s="4" t="s">
        <v>53</v>
      </c>
      <c r="E25" s="4" t="s">
        <v>63</v>
      </c>
      <c r="F25" s="15">
        <v>95</v>
      </c>
      <c r="G25" s="15">
        <v>0</v>
      </c>
      <c r="H25" s="15">
        <f t="shared" si="0"/>
        <v>0</v>
      </c>
      <c r="I25" s="15">
        <f t="shared" si="1"/>
        <v>0</v>
      </c>
      <c r="J25" s="15">
        <f t="shared" si="2"/>
        <v>0</v>
      </c>
      <c r="K25" s="15">
        <v>0</v>
      </c>
      <c r="L25" s="15">
        <f t="shared" si="3"/>
        <v>0</v>
      </c>
      <c r="M25" s="26" t="s">
        <v>77</v>
      </c>
      <c r="P25" s="30">
        <f t="shared" si="4"/>
        <v>0</v>
      </c>
      <c r="R25" s="30">
        <f t="shared" si="5"/>
        <v>0</v>
      </c>
      <c r="S25" s="30">
        <f t="shared" si="6"/>
        <v>0</v>
      </c>
      <c r="T25" s="30">
        <f t="shared" si="7"/>
        <v>0</v>
      </c>
      <c r="U25" s="30">
        <f t="shared" si="8"/>
        <v>0</v>
      </c>
      <c r="V25" s="30">
        <f t="shared" si="9"/>
        <v>0</v>
      </c>
      <c r="W25" s="30">
        <f t="shared" si="10"/>
        <v>0</v>
      </c>
      <c r="X25" s="30">
        <f t="shared" si="11"/>
        <v>0</v>
      </c>
      <c r="Y25" s="23"/>
      <c r="Z25" s="15">
        <f t="shared" si="12"/>
        <v>0</v>
      </c>
      <c r="AA25" s="15">
        <f t="shared" si="13"/>
        <v>0</v>
      </c>
      <c r="AB25" s="15">
        <f t="shared" si="14"/>
        <v>0</v>
      </c>
      <c r="AD25" s="30">
        <v>21</v>
      </c>
      <c r="AE25" s="30">
        <f>G25*0.0515695067264574</f>
        <v>0</v>
      </c>
      <c r="AF25" s="30">
        <f>G25*(1-0.0515695067264574)</f>
        <v>0</v>
      </c>
      <c r="AG25" s="26" t="s">
        <v>9</v>
      </c>
      <c r="AM25" s="30">
        <f t="shared" si="15"/>
        <v>0</v>
      </c>
      <c r="AN25" s="30">
        <f t="shared" si="16"/>
        <v>0</v>
      </c>
      <c r="AO25" s="31" t="s">
        <v>89</v>
      </c>
      <c r="AP25" s="31" t="s">
        <v>92</v>
      </c>
      <c r="AQ25" s="23" t="s">
        <v>94</v>
      </c>
      <c r="AS25" s="30">
        <f t="shared" si="17"/>
        <v>0</v>
      </c>
      <c r="AT25" s="30">
        <f t="shared" si="18"/>
        <v>0</v>
      </c>
      <c r="AU25" s="30">
        <v>0</v>
      </c>
      <c r="AV25" s="30">
        <f t="shared" si="19"/>
        <v>0</v>
      </c>
    </row>
    <row r="26" spans="1:48" ht="12.75">
      <c r="A26" s="4" t="s">
        <v>14</v>
      </c>
      <c r="B26" s="4"/>
      <c r="C26" s="4" t="s">
        <v>37</v>
      </c>
      <c r="D26" s="4" t="s">
        <v>54</v>
      </c>
      <c r="E26" s="4" t="s">
        <v>63</v>
      </c>
      <c r="F26" s="15">
        <v>100</v>
      </c>
      <c r="G26" s="15">
        <v>0</v>
      </c>
      <c r="H26" s="15">
        <f t="shared" si="0"/>
        <v>0</v>
      </c>
      <c r="I26" s="15">
        <f t="shared" si="1"/>
        <v>0</v>
      </c>
      <c r="J26" s="15">
        <f t="shared" si="2"/>
        <v>0</v>
      </c>
      <c r="K26" s="15">
        <v>0.00043</v>
      </c>
      <c r="L26" s="15">
        <f t="shared" si="3"/>
        <v>0.043</v>
      </c>
      <c r="M26" s="26" t="s">
        <v>77</v>
      </c>
      <c r="P26" s="30">
        <f t="shared" si="4"/>
        <v>0</v>
      </c>
      <c r="R26" s="30">
        <f t="shared" si="5"/>
        <v>0</v>
      </c>
      <c r="S26" s="30">
        <f t="shared" si="6"/>
        <v>0</v>
      </c>
      <c r="T26" s="30">
        <f t="shared" si="7"/>
        <v>0</v>
      </c>
      <c r="U26" s="30">
        <f t="shared" si="8"/>
        <v>0</v>
      </c>
      <c r="V26" s="30">
        <f t="shared" si="9"/>
        <v>0</v>
      </c>
      <c r="W26" s="30">
        <f t="shared" si="10"/>
        <v>0</v>
      </c>
      <c r="X26" s="30">
        <f t="shared" si="11"/>
        <v>0</v>
      </c>
      <c r="Y26" s="23"/>
      <c r="Z26" s="15">
        <f t="shared" si="12"/>
        <v>0</v>
      </c>
      <c r="AA26" s="15">
        <f t="shared" si="13"/>
        <v>0</v>
      </c>
      <c r="AB26" s="15">
        <f t="shared" si="14"/>
        <v>0</v>
      </c>
      <c r="AD26" s="30">
        <v>21</v>
      </c>
      <c r="AE26" s="30">
        <f>G26*0.259953161592506</f>
        <v>0</v>
      </c>
      <c r="AF26" s="30">
        <f>G26*(1-0.259953161592506)</f>
        <v>0</v>
      </c>
      <c r="AG26" s="26" t="s">
        <v>9</v>
      </c>
      <c r="AM26" s="30">
        <f t="shared" si="15"/>
        <v>0</v>
      </c>
      <c r="AN26" s="30">
        <f t="shared" si="16"/>
        <v>0</v>
      </c>
      <c r="AO26" s="31" t="s">
        <v>89</v>
      </c>
      <c r="AP26" s="31" t="s">
        <v>92</v>
      </c>
      <c r="AQ26" s="23" t="s">
        <v>94</v>
      </c>
      <c r="AS26" s="30">
        <f t="shared" si="17"/>
        <v>0</v>
      </c>
      <c r="AT26" s="30">
        <f t="shared" si="18"/>
        <v>0</v>
      </c>
      <c r="AU26" s="30">
        <v>0</v>
      </c>
      <c r="AV26" s="30">
        <f t="shared" si="19"/>
        <v>0.043</v>
      </c>
    </row>
    <row r="27" spans="1:48" ht="12.75">
      <c r="A27" s="4" t="s">
        <v>15</v>
      </c>
      <c r="B27" s="4"/>
      <c r="C27" s="4" t="s">
        <v>38</v>
      </c>
      <c r="D27" s="4" t="s">
        <v>55</v>
      </c>
      <c r="E27" s="4" t="s">
        <v>63</v>
      </c>
      <c r="F27" s="15">
        <v>100</v>
      </c>
      <c r="G27" s="15">
        <v>0</v>
      </c>
      <c r="H27" s="15">
        <f t="shared" si="0"/>
        <v>0</v>
      </c>
      <c r="I27" s="15">
        <f t="shared" si="1"/>
        <v>0</v>
      </c>
      <c r="J27" s="15">
        <f t="shared" si="2"/>
        <v>0</v>
      </c>
      <c r="K27" s="15">
        <v>0</v>
      </c>
      <c r="L27" s="15">
        <f t="shared" si="3"/>
        <v>0</v>
      </c>
      <c r="M27" s="26" t="s">
        <v>77</v>
      </c>
      <c r="P27" s="30">
        <f t="shared" si="4"/>
        <v>0</v>
      </c>
      <c r="R27" s="30">
        <f t="shared" si="5"/>
        <v>0</v>
      </c>
      <c r="S27" s="30">
        <f t="shared" si="6"/>
        <v>0</v>
      </c>
      <c r="T27" s="30">
        <f t="shared" si="7"/>
        <v>0</v>
      </c>
      <c r="U27" s="30">
        <f t="shared" si="8"/>
        <v>0</v>
      </c>
      <c r="V27" s="30">
        <f t="shared" si="9"/>
        <v>0</v>
      </c>
      <c r="W27" s="30">
        <f t="shared" si="10"/>
        <v>0</v>
      </c>
      <c r="X27" s="30">
        <f t="shared" si="11"/>
        <v>0</v>
      </c>
      <c r="Y27" s="23"/>
      <c r="Z27" s="15">
        <f t="shared" si="12"/>
        <v>0</v>
      </c>
      <c r="AA27" s="15">
        <f t="shared" si="13"/>
        <v>0</v>
      </c>
      <c r="AB27" s="15">
        <f t="shared" si="14"/>
        <v>0</v>
      </c>
      <c r="AD27" s="30">
        <v>21</v>
      </c>
      <c r="AE27" s="30">
        <f>G27*0</f>
        <v>0</v>
      </c>
      <c r="AF27" s="30">
        <f>G27*(1-0)</f>
        <v>0</v>
      </c>
      <c r="AG27" s="26" t="s">
        <v>9</v>
      </c>
      <c r="AM27" s="30">
        <f t="shared" si="15"/>
        <v>0</v>
      </c>
      <c r="AN27" s="30">
        <f t="shared" si="16"/>
        <v>0</v>
      </c>
      <c r="AO27" s="31" t="s">
        <v>89</v>
      </c>
      <c r="AP27" s="31" t="s">
        <v>92</v>
      </c>
      <c r="AQ27" s="23" t="s">
        <v>94</v>
      </c>
      <c r="AS27" s="30">
        <f t="shared" si="17"/>
        <v>0</v>
      </c>
      <c r="AT27" s="30">
        <f t="shared" si="18"/>
        <v>0</v>
      </c>
      <c r="AU27" s="30">
        <v>0</v>
      </c>
      <c r="AV27" s="30">
        <f t="shared" si="19"/>
        <v>0</v>
      </c>
    </row>
    <row r="28" spans="1:48" ht="12.75">
      <c r="A28" s="4" t="s">
        <v>16</v>
      </c>
      <c r="B28" s="4"/>
      <c r="C28" s="4" t="s">
        <v>39</v>
      </c>
      <c r="D28" s="4" t="s">
        <v>56</v>
      </c>
      <c r="E28" s="4" t="s">
        <v>63</v>
      </c>
      <c r="F28" s="15">
        <v>600</v>
      </c>
      <c r="G28" s="15">
        <v>0</v>
      </c>
      <c r="H28" s="15">
        <f t="shared" si="0"/>
        <v>0</v>
      </c>
      <c r="I28" s="15">
        <f t="shared" si="1"/>
        <v>0</v>
      </c>
      <c r="J28" s="15">
        <f t="shared" si="2"/>
        <v>0</v>
      </c>
      <c r="K28" s="15">
        <v>0.00042</v>
      </c>
      <c r="L28" s="15">
        <f t="shared" si="3"/>
        <v>0.252</v>
      </c>
      <c r="M28" s="26" t="s">
        <v>77</v>
      </c>
      <c r="P28" s="30">
        <f t="shared" si="4"/>
        <v>0</v>
      </c>
      <c r="R28" s="30">
        <f t="shared" si="5"/>
        <v>0</v>
      </c>
      <c r="S28" s="30">
        <f t="shared" si="6"/>
        <v>0</v>
      </c>
      <c r="T28" s="30">
        <f t="shared" si="7"/>
        <v>0</v>
      </c>
      <c r="U28" s="30">
        <f t="shared" si="8"/>
        <v>0</v>
      </c>
      <c r="V28" s="30">
        <f t="shared" si="9"/>
        <v>0</v>
      </c>
      <c r="W28" s="30">
        <f t="shared" si="10"/>
        <v>0</v>
      </c>
      <c r="X28" s="30">
        <f t="shared" si="11"/>
        <v>0</v>
      </c>
      <c r="Y28" s="23"/>
      <c r="Z28" s="15">
        <f t="shared" si="12"/>
        <v>0</v>
      </c>
      <c r="AA28" s="15">
        <f t="shared" si="13"/>
        <v>0</v>
      </c>
      <c r="AB28" s="15">
        <f t="shared" si="14"/>
        <v>0</v>
      </c>
      <c r="AD28" s="30">
        <v>21</v>
      </c>
      <c r="AE28" s="30">
        <f>G28*0.317892976588629</f>
        <v>0</v>
      </c>
      <c r="AF28" s="30">
        <f>G28*(1-0.317892976588629)</f>
        <v>0</v>
      </c>
      <c r="AG28" s="26" t="s">
        <v>9</v>
      </c>
      <c r="AM28" s="30">
        <f t="shared" si="15"/>
        <v>0</v>
      </c>
      <c r="AN28" s="30">
        <f t="shared" si="16"/>
        <v>0</v>
      </c>
      <c r="AO28" s="31" t="s">
        <v>89</v>
      </c>
      <c r="AP28" s="31" t="s">
        <v>92</v>
      </c>
      <c r="AQ28" s="23" t="s">
        <v>94</v>
      </c>
      <c r="AS28" s="30">
        <f t="shared" si="17"/>
        <v>0</v>
      </c>
      <c r="AT28" s="30">
        <f t="shared" si="18"/>
        <v>0</v>
      </c>
      <c r="AU28" s="30">
        <v>0</v>
      </c>
      <c r="AV28" s="30">
        <f t="shared" si="19"/>
        <v>0.252</v>
      </c>
    </row>
    <row r="29" spans="1:48" ht="12.75">
      <c r="A29" s="4" t="s">
        <v>17</v>
      </c>
      <c r="B29" s="4"/>
      <c r="C29" s="4" t="s">
        <v>28</v>
      </c>
      <c r="D29" s="4" t="s">
        <v>47</v>
      </c>
      <c r="E29" s="4" t="s">
        <v>64</v>
      </c>
      <c r="F29" s="15">
        <v>1.5</v>
      </c>
      <c r="G29" s="15">
        <v>0</v>
      </c>
      <c r="H29" s="15">
        <f t="shared" si="0"/>
        <v>0</v>
      </c>
      <c r="I29" s="15">
        <f t="shared" si="1"/>
        <v>0</v>
      </c>
      <c r="J29" s="15">
        <f t="shared" si="2"/>
        <v>0</v>
      </c>
      <c r="K29" s="15">
        <v>0</v>
      </c>
      <c r="L29" s="15">
        <f t="shared" si="3"/>
        <v>0</v>
      </c>
      <c r="M29" s="26" t="s">
        <v>77</v>
      </c>
      <c r="P29" s="30">
        <f t="shared" si="4"/>
        <v>0</v>
      </c>
      <c r="R29" s="30">
        <f t="shared" si="5"/>
        <v>0</v>
      </c>
      <c r="S29" s="30">
        <f t="shared" si="6"/>
        <v>0</v>
      </c>
      <c r="T29" s="30">
        <f t="shared" si="7"/>
        <v>0</v>
      </c>
      <c r="U29" s="30">
        <f t="shared" si="8"/>
        <v>0</v>
      </c>
      <c r="V29" s="30">
        <f t="shared" si="9"/>
        <v>0</v>
      </c>
      <c r="W29" s="30">
        <f t="shared" si="10"/>
        <v>0</v>
      </c>
      <c r="X29" s="30">
        <f t="shared" si="11"/>
        <v>0</v>
      </c>
      <c r="Y29" s="23"/>
      <c r="Z29" s="15">
        <f t="shared" si="12"/>
        <v>0</v>
      </c>
      <c r="AA29" s="15">
        <f t="shared" si="13"/>
        <v>0</v>
      </c>
      <c r="AB29" s="15">
        <f t="shared" si="14"/>
        <v>0</v>
      </c>
      <c r="AD29" s="30">
        <v>21</v>
      </c>
      <c r="AE29" s="30">
        <f>G29*0</f>
        <v>0</v>
      </c>
      <c r="AF29" s="30">
        <f>G29*(1-0)</f>
        <v>0</v>
      </c>
      <c r="AG29" s="26" t="s">
        <v>7</v>
      </c>
      <c r="AM29" s="30">
        <f t="shared" si="15"/>
        <v>0</v>
      </c>
      <c r="AN29" s="30">
        <f t="shared" si="16"/>
        <v>0</v>
      </c>
      <c r="AO29" s="31" t="s">
        <v>89</v>
      </c>
      <c r="AP29" s="31" t="s">
        <v>92</v>
      </c>
      <c r="AQ29" s="23" t="s">
        <v>94</v>
      </c>
      <c r="AS29" s="30">
        <f t="shared" si="17"/>
        <v>0</v>
      </c>
      <c r="AT29" s="30">
        <f t="shared" si="18"/>
        <v>0</v>
      </c>
      <c r="AU29" s="30">
        <v>0</v>
      </c>
      <c r="AV29" s="30">
        <f t="shared" si="19"/>
        <v>0</v>
      </c>
    </row>
    <row r="30" spans="1:37" ht="12.75">
      <c r="A30" s="5"/>
      <c r="B30" s="12"/>
      <c r="C30" s="12" t="s">
        <v>40</v>
      </c>
      <c r="D30" s="105" t="s">
        <v>57</v>
      </c>
      <c r="E30" s="106"/>
      <c r="F30" s="106"/>
      <c r="G30" s="106"/>
      <c r="H30" s="33">
        <f>SUM(H31:H32)</f>
        <v>0</v>
      </c>
      <c r="I30" s="33">
        <f>SUM(I31:I32)</f>
        <v>0</v>
      </c>
      <c r="J30" s="33">
        <f>H30+I30</f>
        <v>0</v>
      </c>
      <c r="K30" s="23"/>
      <c r="L30" s="33">
        <f>SUM(L31:L32)</f>
        <v>0.012</v>
      </c>
      <c r="M30" s="23"/>
      <c r="Y30" s="23"/>
      <c r="AI30" s="33">
        <f>SUM(Z31:Z32)</f>
        <v>0</v>
      </c>
      <c r="AJ30" s="33">
        <f>SUM(AA31:AA32)</f>
        <v>0</v>
      </c>
      <c r="AK30" s="33">
        <f>SUM(AB31:AB32)</f>
        <v>0</v>
      </c>
    </row>
    <row r="31" spans="1:48" ht="12.75">
      <c r="A31" s="4" t="s">
        <v>18</v>
      </c>
      <c r="B31" s="4"/>
      <c r="C31" s="4" t="s">
        <v>41</v>
      </c>
      <c r="D31" s="4" t="s">
        <v>58</v>
      </c>
      <c r="E31" s="4" t="s">
        <v>63</v>
      </c>
      <c r="F31" s="15">
        <v>300</v>
      </c>
      <c r="G31" s="15">
        <v>0</v>
      </c>
      <c r="H31" s="15">
        <f>F31*AE31</f>
        <v>0</v>
      </c>
      <c r="I31" s="15">
        <f>J31-H31</f>
        <v>0</v>
      </c>
      <c r="J31" s="15">
        <f>F31*G31</f>
        <v>0</v>
      </c>
      <c r="K31" s="15">
        <v>4E-05</v>
      </c>
      <c r="L31" s="15">
        <f>F31*K31</f>
        <v>0.012</v>
      </c>
      <c r="M31" s="26" t="s">
        <v>77</v>
      </c>
      <c r="P31" s="30">
        <f>IF(AG31="5",J31,0)</f>
        <v>0</v>
      </c>
      <c r="R31" s="30">
        <f>IF(AG31="1",H31,0)</f>
        <v>0</v>
      </c>
      <c r="S31" s="30">
        <f>IF(AG31="1",I31,0)</f>
        <v>0</v>
      </c>
      <c r="T31" s="30">
        <f>IF(AG31="7",H31,0)</f>
        <v>0</v>
      </c>
      <c r="U31" s="30">
        <f>IF(AG31="7",I31,0)</f>
        <v>0</v>
      </c>
      <c r="V31" s="30">
        <f>IF(AG31="2",H31,0)</f>
        <v>0</v>
      </c>
      <c r="W31" s="30">
        <f>IF(AG31="2",I31,0)</f>
        <v>0</v>
      </c>
      <c r="X31" s="30">
        <f>IF(AG31="0",J31,0)</f>
        <v>0</v>
      </c>
      <c r="Y31" s="23"/>
      <c r="Z31" s="15">
        <f>IF(AD31=0,J31,0)</f>
        <v>0</v>
      </c>
      <c r="AA31" s="15">
        <f>IF(AD31=15,J31,0)</f>
        <v>0</v>
      </c>
      <c r="AB31" s="15">
        <f>IF(AD31=21,J31,0)</f>
        <v>0</v>
      </c>
      <c r="AD31" s="30">
        <v>21</v>
      </c>
      <c r="AE31" s="30">
        <f>G31*0.016570848833277</f>
        <v>0</v>
      </c>
      <c r="AF31" s="30">
        <f>G31*(1-0.016570848833277)</f>
        <v>0</v>
      </c>
      <c r="AG31" s="26" t="s">
        <v>3</v>
      </c>
      <c r="AM31" s="30">
        <f>F31*AE31</f>
        <v>0</v>
      </c>
      <c r="AN31" s="30">
        <f>F31*AF31</f>
        <v>0</v>
      </c>
      <c r="AO31" s="31" t="s">
        <v>90</v>
      </c>
      <c r="AP31" s="31" t="s">
        <v>93</v>
      </c>
      <c r="AQ31" s="23" t="s">
        <v>94</v>
      </c>
      <c r="AS31" s="30">
        <f>AM31+AN31</f>
        <v>0</v>
      </c>
      <c r="AT31" s="30">
        <f>G31/(100-AU31)*100</f>
        <v>0</v>
      </c>
      <c r="AU31" s="30">
        <v>0</v>
      </c>
      <c r="AV31" s="30">
        <f>L31</f>
        <v>0.012</v>
      </c>
    </row>
    <row r="32" spans="1:48" ht="12.75">
      <c r="A32" s="6" t="s">
        <v>19</v>
      </c>
      <c r="B32" s="6"/>
      <c r="C32" s="6" t="s">
        <v>28</v>
      </c>
      <c r="D32" s="6" t="s">
        <v>47</v>
      </c>
      <c r="E32" s="6" t="s">
        <v>64</v>
      </c>
      <c r="F32" s="16">
        <v>1.5</v>
      </c>
      <c r="G32" s="16">
        <v>0</v>
      </c>
      <c r="H32" s="16">
        <f>F32*AE32</f>
        <v>0</v>
      </c>
      <c r="I32" s="16">
        <f>J32-H32</f>
        <v>0</v>
      </c>
      <c r="J32" s="16">
        <f>F32*G32</f>
        <v>0</v>
      </c>
      <c r="K32" s="16">
        <v>0</v>
      </c>
      <c r="L32" s="16">
        <f>F32*K32</f>
        <v>0</v>
      </c>
      <c r="M32" s="27" t="s">
        <v>77</v>
      </c>
      <c r="P32" s="30">
        <f>IF(AG32="5",J32,0)</f>
        <v>0</v>
      </c>
      <c r="R32" s="30">
        <f>IF(AG32="1",H32,0)</f>
        <v>0</v>
      </c>
      <c r="S32" s="30">
        <f>IF(AG32="1",I32,0)</f>
        <v>0</v>
      </c>
      <c r="T32" s="30">
        <f>IF(AG32="7",H32,0)</f>
        <v>0</v>
      </c>
      <c r="U32" s="30">
        <f>IF(AG32="7",I32,0)</f>
        <v>0</v>
      </c>
      <c r="V32" s="30">
        <f>IF(AG32="2",H32,0)</f>
        <v>0</v>
      </c>
      <c r="W32" s="30">
        <f>IF(AG32="2",I32,0)</f>
        <v>0</v>
      </c>
      <c r="X32" s="30">
        <f>IF(AG32="0",J32,0)</f>
        <v>0</v>
      </c>
      <c r="Y32" s="23"/>
      <c r="Z32" s="15">
        <f>IF(AD32=0,J32,0)</f>
        <v>0</v>
      </c>
      <c r="AA32" s="15">
        <f>IF(AD32=15,J32,0)</f>
        <v>0</v>
      </c>
      <c r="AB32" s="15">
        <f>IF(AD32=21,J32,0)</f>
        <v>0</v>
      </c>
      <c r="AD32" s="30">
        <v>21</v>
      </c>
      <c r="AE32" s="30">
        <f>G32*0</f>
        <v>0</v>
      </c>
      <c r="AF32" s="30">
        <f>G32*(1-0)</f>
        <v>0</v>
      </c>
      <c r="AG32" s="26" t="s">
        <v>7</v>
      </c>
      <c r="AM32" s="30">
        <f>F32*AE32</f>
        <v>0</v>
      </c>
      <c r="AN32" s="30">
        <f>F32*AF32</f>
        <v>0</v>
      </c>
      <c r="AO32" s="31" t="s">
        <v>90</v>
      </c>
      <c r="AP32" s="31" t="s">
        <v>93</v>
      </c>
      <c r="AQ32" s="23" t="s">
        <v>94</v>
      </c>
      <c r="AS32" s="30">
        <f>AM32+AN32</f>
        <v>0</v>
      </c>
      <c r="AT32" s="30">
        <f>G32/(100-AU32)*100</f>
        <v>0</v>
      </c>
      <c r="AU32" s="30">
        <v>0</v>
      </c>
      <c r="AV32" s="30">
        <f>L32</f>
        <v>0</v>
      </c>
    </row>
    <row r="33" spans="1:13" ht="12.75">
      <c r="A33" s="7"/>
      <c r="B33" s="7"/>
      <c r="C33" s="7"/>
      <c r="D33" s="7"/>
      <c r="E33" s="7"/>
      <c r="F33" s="7"/>
      <c r="G33" s="7"/>
      <c r="H33" s="98" t="s">
        <v>70</v>
      </c>
      <c r="I33" s="99"/>
      <c r="J33" s="34">
        <f>J12+J14+J18+J30</f>
        <v>0</v>
      </c>
      <c r="K33" s="7"/>
      <c r="L33" s="7"/>
      <c r="M33" s="7"/>
    </row>
    <row r="34" ht="11.25" customHeight="1">
      <c r="A34" s="8" t="s">
        <v>20</v>
      </c>
    </row>
    <row r="35" spans="1:13" ht="12.75">
      <c r="A35" s="59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</sheetData>
  <sheetProtection/>
  <mergeCells count="34">
    <mergeCell ref="H33:I33"/>
    <mergeCell ref="A35:M35"/>
    <mergeCell ref="H10:J10"/>
    <mergeCell ref="K10:L10"/>
    <mergeCell ref="D12:G12"/>
    <mergeCell ref="D14:G14"/>
    <mergeCell ref="D18:G18"/>
    <mergeCell ref="D30:G3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K3"/>
    <mergeCell ref="L2:M3"/>
  </mergeCells>
  <printOptions/>
  <pageMargins left="0.394" right="0.394" top="0.591" bottom="0.591" header="0.5" footer="0.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Kubík</dc:creator>
  <cp:keywords/>
  <dc:description/>
  <cp:lastModifiedBy>Bc. Petr Šámal</cp:lastModifiedBy>
  <cp:lastPrinted>2022-04-29T07:59:55Z</cp:lastPrinted>
  <dcterms:created xsi:type="dcterms:W3CDTF">2019-05-09T11:15:42Z</dcterms:created>
  <dcterms:modified xsi:type="dcterms:W3CDTF">2022-11-09T06:58:15Z</dcterms:modified>
  <cp:category/>
  <cp:version/>
  <cp:contentType/>
  <cp:contentStatus/>
</cp:coreProperties>
</file>