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<sst xmlns="http://schemas.openxmlformats.org/spreadsheetml/2006/main" count="2031" uniqueCount="735">
  <si>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</si>
  <si>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</si>
  <si>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</si>
  <si>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</si>
  <si>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</si>
  <si>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</si>
  <si>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</si>
  <si>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</si>
  <si>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</si>
  <si>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</si>
  <si>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</si>
  <si>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</si>
  <si>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</si>
  <si>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</si>
  <si>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</si>
  <si>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</si>
  <si>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</si>
  <si>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</si>
  <si>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</si>
  <si>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</si>
  <si>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</si>
  <si>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</si>
  <si>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</si>
  <si>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</si>
  <si>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</si>
  <si>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</si>
  <si>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</si>
  <si>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</si>
  <si>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</si>
  <si>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</si>
  <si>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</si>
  <si>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</si>
  <si>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</si>
  <si>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</si>
  <si>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</si>
  <si>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</si>
  <si>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</si>
  <si>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</si>
  <si>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</si>
  <si>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</si>
  <si>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</si>
  <si>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</si>
  <si>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</si>
  <si>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</si>
  <si>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</si>
  <si>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</si>
  <si>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</si>
  <si>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</si>
  <si>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</si>
  <si>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</si>
  <si>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</si>
  <si>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</si>
  <si>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</si>
  <si>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</si>
  <si>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</si>
  <si>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</si>
  <si>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</si>
  <si>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</si>
  <si>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</si>
  <si>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</si>
  <si>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</si>
  <si>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</si>
  <si>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</si>
  <si>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</si>
  <si>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</si>
  <si>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</si>
  <si>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</si>
  <si>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</si>
  <si>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</si>
  <si>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</si>
  <si>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</si>
  <si>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</si>
  <si>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</si>
  <si>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</si>
  <si>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</si>
  <si>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</si>
  <si>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</si>
  <si>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</si>
  <si>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</si>
  <si>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</si>
  <si>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</si>
  <si>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</si>
  <si>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</si>
  <si>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</si>
  <si>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</si>
  <si>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</si>
  <si>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</si>
  <si>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</si>
  <si>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</si>
  <si>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</si>
  <si>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</si>
  <si>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</si>
  <si>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</si>
  <si>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</si>
  <si>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</si>
  <si>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</si>
  <si>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</si>
  <si>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</si>
  <si>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</si>
  <si>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</si>
  <si>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</si>
  <si>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</si>
  <si>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</si>
  <si>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</si>
  <si>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</si>
  <si>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</si>
  <si>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</si>
  <si>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</si>
  <si>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</si>
  <si>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</si>
  <si>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</si>
  <si>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</si>
  <si>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</si>
  <si>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</si>
  <si>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</si>
  <si>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</si>
  <si>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</si>
  <si>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</si>
  <si>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</si>
  <si>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</si>
  <si>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</si>
  <si>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</si>
  <si>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</si>
  <si>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</si>
  <si>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</si>
  <si>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</si>
  <si>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</si>
  <si>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</si>
  <si>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</si>
  <si>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</si>
  <si>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</si>
  <si>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</si>
  <si>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</si>
  <si>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</si>
  <si>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</si>
  <si>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</si>
  <si>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</si>
  <si>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</si>
  <si>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</si>
  <si>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Poznámka:</t>
  </si>
  <si>
    <t>Kód</t>
  </si>
  <si>
    <t>289902111R00</t>
  </si>
  <si>
    <t>317941123RU2</t>
  </si>
  <si>
    <t>Varianta:</t>
  </si>
  <si>
    <t>RTS komentář:</t>
  </si>
  <si>
    <t>317941123RT2</t>
  </si>
  <si>
    <t>319201311R00</t>
  </si>
  <si>
    <t>342256253RT3</t>
  </si>
  <si>
    <t>602021102R00</t>
  </si>
  <si>
    <t>602016113RT7</t>
  </si>
  <si>
    <t>601012142RT1</t>
  </si>
  <si>
    <t>602012142RT1</t>
  </si>
  <si>
    <t>612481211RT2</t>
  </si>
  <si>
    <t>610991111R00</t>
  </si>
  <si>
    <t>631310020RA0</t>
  </si>
  <si>
    <t>631361921RT0</t>
  </si>
  <si>
    <t>631313611R00</t>
  </si>
  <si>
    <t>642944121RT5</t>
  </si>
  <si>
    <t>642942111RT3</t>
  </si>
  <si>
    <t>642942111RT5</t>
  </si>
  <si>
    <t>711</t>
  </si>
  <si>
    <t>711212001RW1</t>
  </si>
  <si>
    <t>711212000RW1</t>
  </si>
  <si>
    <t>711212601RW1</t>
  </si>
  <si>
    <t>711212611RW1</t>
  </si>
  <si>
    <t>711823111RT1</t>
  </si>
  <si>
    <t>713</t>
  </si>
  <si>
    <t>713121111RV4</t>
  </si>
  <si>
    <t>721</t>
  </si>
  <si>
    <t>721176102R00</t>
  </si>
  <si>
    <t>721176103R00</t>
  </si>
  <si>
    <t>721176105R00</t>
  </si>
  <si>
    <t>721223427RT1</t>
  </si>
  <si>
    <t>721171803R00</t>
  </si>
  <si>
    <t>722</t>
  </si>
  <si>
    <t>722170801R00</t>
  </si>
  <si>
    <t>722181211RT7</t>
  </si>
  <si>
    <t>722181211RT9</t>
  </si>
  <si>
    <t>722172311R00</t>
  </si>
  <si>
    <t>722172312R00</t>
  </si>
  <si>
    <t>725</t>
  </si>
  <si>
    <t>725290010RA0</t>
  </si>
  <si>
    <t>725290020RA0</t>
  </si>
  <si>
    <t>725017161R00</t>
  </si>
  <si>
    <t>725299101R00</t>
  </si>
  <si>
    <t>725291171R00</t>
  </si>
  <si>
    <t>725292035R00</t>
  </si>
  <si>
    <t>725122817R00</t>
  </si>
  <si>
    <t>725122221R00</t>
  </si>
  <si>
    <t>725013138RT1</t>
  </si>
  <si>
    <t>725291114R00</t>
  </si>
  <si>
    <t>725291111R00</t>
  </si>
  <si>
    <t>725845111RT1</t>
  </si>
  <si>
    <t>725849201R00</t>
  </si>
  <si>
    <t>725825111RT1</t>
  </si>
  <si>
    <t>725829202R00</t>
  </si>
  <si>
    <t>725292061R00</t>
  </si>
  <si>
    <t>725292041R00</t>
  </si>
  <si>
    <t>725122111R00</t>
  </si>
  <si>
    <t>725139102R00</t>
  </si>
  <si>
    <t>734</t>
  </si>
  <si>
    <t>734261223R00</t>
  </si>
  <si>
    <t>735</t>
  </si>
  <si>
    <t>735111810R00</t>
  </si>
  <si>
    <t>735156785R00</t>
  </si>
  <si>
    <t>735156782R00</t>
  </si>
  <si>
    <t>735156930R00</t>
  </si>
  <si>
    <t>735159320R00</t>
  </si>
  <si>
    <t>771</t>
  </si>
  <si>
    <t>771212113R00</t>
  </si>
  <si>
    <t>771578011R00</t>
  </si>
  <si>
    <t>771579792R00</t>
  </si>
  <si>
    <t>771577113RV1</t>
  </si>
  <si>
    <t>781</t>
  </si>
  <si>
    <t>781419706R00</t>
  </si>
  <si>
    <t>781230121R00</t>
  </si>
  <si>
    <t>781900010RA0</t>
  </si>
  <si>
    <t>781670016RAI</t>
  </si>
  <si>
    <t>781101210R00</t>
  </si>
  <si>
    <t>781497111RS2</t>
  </si>
  <si>
    <t>783</t>
  </si>
  <si>
    <t>783120014RAB</t>
  </si>
  <si>
    <t>784</t>
  </si>
  <si>
    <t>784402801R00</t>
  </si>
  <si>
    <t>784165512R00</t>
  </si>
  <si>
    <t>784161101R00</t>
  </si>
  <si>
    <t>941955004R00</t>
  </si>
  <si>
    <t>941941111R00</t>
  </si>
  <si>
    <t>965081713RT2</t>
  </si>
  <si>
    <t>965042241RT4</t>
  </si>
  <si>
    <t>965048150R00</t>
  </si>
  <si>
    <t>965049111RT1</t>
  </si>
  <si>
    <t>965082923R00</t>
  </si>
  <si>
    <t>962031113R00</t>
  </si>
  <si>
    <t>968072455R00</t>
  </si>
  <si>
    <t>968061125R00</t>
  </si>
  <si>
    <t>967031132R00</t>
  </si>
  <si>
    <t>964011211R00</t>
  </si>
  <si>
    <t>978013191R00</t>
  </si>
  <si>
    <t>H99</t>
  </si>
  <si>
    <t>999281105R00</t>
  </si>
  <si>
    <t>M21</t>
  </si>
  <si>
    <t>210201523R00</t>
  </si>
  <si>
    <t>210010321RT1</t>
  </si>
  <si>
    <t>210110501R00</t>
  </si>
  <si>
    <t>210112041R00</t>
  </si>
  <si>
    <t>210100001R00</t>
  </si>
  <si>
    <t>M22</t>
  </si>
  <si>
    <t>220260022R00</t>
  </si>
  <si>
    <t>220261662R00</t>
  </si>
  <si>
    <t>220261664R00</t>
  </si>
  <si>
    <t>M65</t>
  </si>
  <si>
    <t>650801153R00</t>
  </si>
  <si>
    <t>650101531R00</t>
  </si>
  <si>
    <t>650124141R00</t>
  </si>
  <si>
    <t>650124143R00</t>
  </si>
  <si>
    <t>S</t>
  </si>
  <si>
    <t>979011221R00</t>
  </si>
  <si>
    <t>979081111RT3</t>
  </si>
  <si>
    <t>979081121RT3</t>
  </si>
  <si>
    <t>979082111R00</t>
  </si>
  <si>
    <t>979990107R00</t>
  </si>
  <si>
    <t>597813774</t>
  </si>
  <si>
    <t>597642031</t>
  </si>
  <si>
    <t>551200091</t>
  </si>
  <si>
    <t>551200161</t>
  </si>
  <si>
    <t>64271101</t>
  </si>
  <si>
    <t>64286206</t>
  </si>
  <si>
    <t>55161635</t>
  </si>
  <si>
    <t>55161600</t>
  </si>
  <si>
    <t>58541232</t>
  </si>
  <si>
    <t>34551610</t>
  </si>
  <si>
    <t>34111030</t>
  </si>
  <si>
    <t>34111031</t>
  </si>
  <si>
    <t>34111038</t>
  </si>
  <si>
    <t>358890507</t>
  </si>
  <si>
    <t>358890505</t>
  </si>
  <si>
    <t>34536700</t>
  </si>
  <si>
    <t>34536705</t>
  </si>
  <si>
    <t>28329094</t>
  </si>
  <si>
    <t>61160104</t>
  </si>
  <si>
    <t>61160102</t>
  </si>
  <si>
    <t>54914590</t>
  </si>
  <si>
    <t>54914599</t>
  </si>
  <si>
    <t>03VRN</t>
  </si>
  <si>
    <t>034002VRN</t>
  </si>
  <si>
    <t>032002VRN</t>
  </si>
  <si>
    <t>033002VRN</t>
  </si>
  <si>
    <t>04VRN</t>
  </si>
  <si>
    <t>044002VRN</t>
  </si>
  <si>
    <t>3.A - oprava sociálního zázemí pacientů</t>
  </si>
  <si>
    <t>Areál psychiatrické nemocnice - budova H - 1.NP</t>
  </si>
  <si>
    <t>Zkrácený popis / Varianta</t>
  </si>
  <si>
    <t>Rozměry</t>
  </si>
  <si>
    <t>Zpevňování hornin a konstrukcí</t>
  </si>
  <si>
    <t>Otlučení nebo odsekání omítek stěn</t>
  </si>
  <si>
    <t>Plocha pod původními obklady</t>
  </si>
  <si>
    <t>Zdi podpěrné a volné</t>
  </si>
  <si>
    <t>Osazení ocelových válcovaných nosníků  č.14-22</t>
  </si>
  <si>
    <t>včetně dodávky profilu U č.14</t>
  </si>
  <si>
    <t>V položkách je mimo vlastního osazení zakalkulována i dodávka ocelových válcovaných nosníků profilu U č.14 včetně ztratného ve výši 8%, které kryje náklady na prořez (zbytkový odpad) a náklady na řezání příslušných délek</t>
  </si>
  <si>
    <t>Dva krajní překlady nových dveří  š.900m  do koupelny
Délka překladu 1,4bm, hmotnost 1bm je 16kg.</t>
  </si>
  <si>
    <t>včetně dodávky profilu I č.14</t>
  </si>
  <si>
    <t>V položkách je mimo vlastního osazení zakalkulována i dodávka ocelových válcovaných nosníků profilu I č.14 včetně ztratného ve výši 8%, které kryje náklady na prořez (zbytkový odpad) a náklady na řezání příslušných délek</t>
  </si>
  <si>
    <t>Středový překlad pro nové dveře š.900mm do koupelny.
Délka překladu 1,4bm, mnotnost 14,4kg/bm</t>
  </si>
  <si>
    <t>Vyrovnání povrchu zdiva maltou tl.do 3 cm</t>
  </si>
  <si>
    <t>Položka je kalkulována bez pomocného lešení a bez odsekání vadných cihel</t>
  </si>
  <si>
    <t>Stěny a příčky</t>
  </si>
  <si>
    <t>Příčka z tvárnic pórobetonových PORFIX tl. 100 mm</t>
  </si>
  <si>
    <t>P2-500, 500x250x100 mm</t>
  </si>
  <si>
    <t>Omítky ze suchých směsí</t>
  </si>
  <si>
    <t>Postřik stěn cem. Baumit Sanova 100% krytí, ručně</t>
  </si>
  <si>
    <t>Postřik ze suché omítkové směsi Baumit. Materiál je vhodný pro vnitřní i vnější použití. Slouží jako podkladní vrstva pod minerální omítky a vyrovnává nasákavost podkladu, na suché i vlhké solemi zatížené minerální podklady. V položce nejsou zakalkulovány náklady na pomocné lešení. V položce nejsou zakalkulovány náklady na použití rohových lišt a armovací skelné tkaniny.</t>
  </si>
  <si>
    <t>Omítka stěn jádrová PROFI Putz, ručně</t>
  </si>
  <si>
    <t>tloušťka vrstvy 25 mm</t>
  </si>
  <si>
    <t>Omítka ze suché směsi Profi. Materiál je vhodný pro vnitřní i vnější použití. Položka je kalkulována jako jedna z vrstev omítkové skladby. Položky za jednotlivé požadované vrstvy se sčítají.  V položce nejsou zakalkulovány náklady na pomocné lešení. V položce nejsou zakalkulovány náklady na použití rohových lišt a armovací skelné tkaniny.  Dříve PROFI Putz&amp;Mörte</t>
  </si>
  <si>
    <t>Štuk na stropech Hasit 160 ručně</t>
  </si>
  <si>
    <t>tloušťka vrstvy 2 mm</t>
  </si>
  <si>
    <t>Omítka ze suché směsi Hasit, vhodná pro vnitřní i vnější použití. Položka je kalkulována jako jedna z vrstev omítkové skladby. Položky za jednotlivé požadované vrstvy se sčítají.  V položce jsou zakalkulovány náklady na pomocné lešení.</t>
  </si>
  <si>
    <t>Štuk na stěnách vnitřní Hasit 160 ručně</t>
  </si>
  <si>
    <t>Omítka ze suché směsi Hasit, vhodná pro vnitřní i vnější použití. Položka je kalkulována jako jedna z vrstev omítkové skladby. Položky za jednotlivé požadované vrstvy se sčítají.  V položce nejsou zakalkulovány náklady na pomocné lešení, náklady na použití rohových lišt a armovací skelné tkaniny.</t>
  </si>
  <si>
    <t>Úprava povrchů vnitřní</t>
  </si>
  <si>
    <t>Montáž výztužné sítě(perlinky)do stěrky-vnit.stěny</t>
  </si>
  <si>
    <t>včetně výztužné sítě a stěrkového tmelu Baumit</t>
  </si>
  <si>
    <t>Položka obsahuje natažení stěrkového tmelu, vtlačení výztužné sítě a rozetření tmelu.</t>
  </si>
  <si>
    <t>Zakrývání výplní vnitřních otvorů</t>
  </si>
  <si>
    <t>Obsahuje i zalepení dveří a také obalení VZT v koupelně a ventilátoru na WC</t>
  </si>
  <si>
    <t>Podlahy a podlahové konstrukce</t>
  </si>
  <si>
    <t>Mazanina z betonu C 12/15, tloušťka 5 cm</t>
  </si>
  <si>
    <t>Mazanina z cementového ( pískového potěru P 300 ) pod tepelnou izolaci z podlahového polystyrenu - po odstranění původního betonu a po urovnání náspu na klenbách - platí pro WC i koupelnu - BEZ VÝZTUŽE!</t>
  </si>
  <si>
    <t>Výztuž mazanin svařovanou sítí</t>
  </si>
  <si>
    <t>průměr drátu  4,0, oka 150/150 mm KA17</t>
  </si>
  <si>
    <t>Hmotnost 1 m2 sítě je 1,35 kg</t>
  </si>
  <si>
    <t>Mazanina betonová tl. 8 - 12 cm C 16/20</t>
  </si>
  <si>
    <t>Položka je určena pro mazaninu hlazenou dřevěným hladítkem a to pro mazaninu krycí, popř. podkladní nebo vyrovnávací nebo plovoucí, pod potěry, vlýsky do asfaltu, pod podlahy. Položka je určena i pro betonový okapový chodníček budovy. Jeho podloží se oceňuje samostatně. V položce jsou zakalkulovány i náklady na vytvoření dilatačních spár v mazanině bez zaplnění. Tyto náklady se oceňují položkami souboru 63460 Zaplnění dilatačních spár v mazaninách</t>
  </si>
  <si>
    <t>Betonová mazanina vtl. 12cm, s kamenivem 4-8mm - BEZ VÝZTUŽE - ta uvedena v jiné položce - Výztuž mazanin ....</t>
  </si>
  <si>
    <t>Výplně otvorů</t>
  </si>
  <si>
    <t>Osazení ocelových zárubní dodatečně do 2,5 m2</t>
  </si>
  <si>
    <t>včetně dodávky zárubně  90x197x11 cm</t>
  </si>
  <si>
    <t>V položce jsou zakalkulovány i náklady na dodávku ocelové zárubně 90x197x11. V položce jsou zakalkulovány náklady na pomocné pracovní lešení o výšce podlahy do 1900 mm a pro zatížení do 1,5 kPa</t>
  </si>
  <si>
    <t>Dveře do koupelny - zvětšují se z původních 800mm na 900mm.</t>
  </si>
  <si>
    <t>Osazení zárubní dveřních ocelových, pl. do 2,5 m2</t>
  </si>
  <si>
    <t>včetně dodávky zárubně  70 x 197 x 11 cm</t>
  </si>
  <si>
    <t>Položka je určena pro osazování zárubní nebo rámů dveřních ocelových lisovaných i z úhelníků bez dveřních křídel na jakoukoliv cementovou maltu s vybetonováním prahu v zárubni a s osazením špalíků nebo latí pro dřevěný práh. Položka je určena také pro osazování zárubní a rámů do stěn z prefa dílců, které se provádí současně nebo bezprostředně po osazení stěnových dílců; podobně je určena pro konstrukce zděné nad 150 mm tloušťky, kde se osazování provádí převážně až po jejich vyzdění. Položka kryje vybetonování nadvýšeného prahu u balkónových dveří. Položka je určena i pro osazení ocelových rámů na maltu určených pro zasklívání sklem profilovaným (Copillit apod.). V položce jsou zakalkulovány náklady na kotvení rámů do zdiva a platí pro jakýkoliv způsob provádění (např. bodovým přivařením k výztuži, uklínováním, zalitím pracen apod.). V položce jsou</t>
  </si>
  <si>
    <t>zakalkulovány i náklady na dodávku zárubní. Volba položky se řídí plochou otvoru.</t>
  </si>
  <si>
    <t>včetně dodávky zárubně  90 x 197 x 11 cm</t>
  </si>
  <si>
    <t>Izolace proti vodě</t>
  </si>
  <si>
    <t>Hydroizolační povlak - nátěr</t>
  </si>
  <si>
    <t>SE 1, proti vlhkosti, 2 vrstvy (fa RAKO)</t>
  </si>
  <si>
    <t>Apikace pomocí stěrky v jedné vrstvě nebo válečku ve dvou vrstvách. Pod hydroizolační nátěr je vždy nutné použít penetraci pol.č. 71121-2000</t>
  </si>
  <si>
    <t>Prostor sprchových koutů - stěny a podlaha s přetažením o 250mm</t>
  </si>
  <si>
    <t>Penetrace podkladu pod hydroizolační nátěr,vč.dod.</t>
  </si>
  <si>
    <t>P201 (fa RAKO)</t>
  </si>
  <si>
    <t>Penetrace podkladů pod hydroizolační nátěry</t>
  </si>
  <si>
    <t>Těsnicí pás do spoje podlaha - stěna</t>
  </si>
  <si>
    <t>SE 5 š. 120 mm (fa RAKO)</t>
  </si>
  <si>
    <t>Cena obsahuje nanesení hydroizolační stěrky, dodávku a vložení pásu.  Cena neobsahuje penetraci podkladu, přetření pásu další vrstvou hydroizolační stěrky</t>
  </si>
  <si>
    <t>Těsnicí pás do svislých koutů</t>
  </si>
  <si>
    <t>Položka je určena pro těsnicí pás umístěný ve svislém rohu. Cena obsahuje nanesení hydroizolační stěrky, dodávku a vložení pásu.  Cena neobsahuje penetraci podkladu, přetření pásu další vrstvou hydroizolační stěrky</t>
  </si>
  <si>
    <t>Položení fólie vodorovně</t>
  </si>
  <si>
    <t>bez dodávky fólie</t>
  </si>
  <si>
    <t>Rozprostření fólie na polysteren jako separační vrstva před betonováním.</t>
  </si>
  <si>
    <t>Izolace tepelné</t>
  </si>
  <si>
    <t>Izolace tepelná podlah na sucho, jednovrstvá</t>
  </si>
  <si>
    <t>včetně dodávky polystyren tl. 80 mm</t>
  </si>
  <si>
    <t>V položce je zakalkulována dodávka izolačního materiálu. Při stanovení množství tepelné izolace se z celkového množství neodečítají otvory nebo neizolované plochy menší než 2 m2.</t>
  </si>
  <si>
    <t>Vnitřní kanalizace</t>
  </si>
  <si>
    <t>Potrubí HT připojovací D 40 x 1,8 mm</t>
  </si>
  <si>
    <t>Potrubí HT připojovací D 50 x 1,8 mm</t>
  </si>
  <si>
    <t>Potrubí HT připojovací D 110 x 2,7 mm</t>
  </si>
  <si>
    <t>Vpusť podlahová se zápachovou uzávěrkou HL 510N</t>
  </si>
  <si>
    <t>mřížka nerez 115 x 115 mm D 40/50 mm</t>
  </si>
  <si>
    <t>Demontáž potrubí z PVC do D 75 mm</t>
  </si>
  <si>
    <t>Vnitřní vodovod</t>
  </si>
  <si>
    <t>Demontáž rozvodů vody z plastů do D 32</t>
  </si>
  <si>
    <t>Izolace návleková MIRELON PRO tl. stěny 6 mm</t>
  </si>
  <si>
    <t>vnitřní průměr 22 mm</t>
  </si>
  <si>
    <t>V položce je kalkulována dodávka izolační trubice, spon a lepicí pásky</t>
  </si>
  <si>
    <t>vnitřní průměr 28 mm</t>
  </si>
  <si>
    <t>Potrubí z PPR, D 20x2,8 mm, PN 16, vč.zed.výpom.</t>
  </si>
  <si>
    <t>Potrubí z PPR, D 25x3,5 mm, PN 16, vč.zed.výpom.</t>
  </si>
  <si>
    <t>Zařizovací předměty</t>
  </si>
  <si>
    <t>Demontáž klozetu včetně splachovací nádrže</t>
  </si>
  <si>
    <t>Demontáž umyvadla včetně baterie a konzol</t>
  </si>
  <si>
    <t>Umyvadlo na šrouby LYRA Plus , 50 x 41 cm, bílé</t>
  </si>
  <si>
    <t>Včetně montáže a upevňovací sady šroubů</t>
  </si>
  <si>
    <t>Montáž koupelnových doplňků - mýdelníků, držáků ap</t>
  </si>
  <si>
    <t>Sedátko sklopné bílé Novaservis</t>
  </si>
  <si>
    <t>Držák na toaletní papír nerezový</t>
  </si>
  <si>
    <t>Demontáž pisoárů bez nádrže</t>
  </si>
  <si>
    <t>Pisoár Domino s automatickým splachovačem, SLP 17</t>
  </si>
  <si>
    <t>Klozet kombi OLYMP,nádrž s armat.odpad svislý,bílý</t>
  </si>
  <si>
    <t>včetně sedátka v bílé barvě</t>
  </si>
  <si>
    <t>Klozet kombinační, odpad svislý, nádrž s úspornou armaturou Dual Flush, v bílé barvě včetně sedátka.</t>
  </si>
  <si>
    <t>Madlo rovné bílé Novaservis dl. 600 mm</t>
  </si>
  <si>
    <t>Madlo rovné bílé Novaservis dl. 300 mm</t>
  </si>
  <si>
    <t>Baterie sprchová nástěnná ruční, s příslušenstvím</t>
  </si>
  <si>
    <t>standardní</t>
  </si>
  <si>
    <t>Montáž baterií sprchových, pevná výška</t>
  </si>
  <si>
    <t>Baterie umyvadlová nástěnná ruční</t>
  </si>
  <si>
    <t>5 ks s ramínkem 20cm
1 ks s ramínkem 30cm - k výlevce</t>
  </si>
  <si>
    <t>Montáž baterie umyv.a dřezové nástěnné</t>
  </si>
  <si>
    <t>WC kartáč s nerezovým držákem na stěnu</t>
  </si>
  <si>
    <t>Dávkovač tekutého mýdla nerezový 0,5 l</t>
  </si>
  <si>
    <t>Pisoárová dělící stěna</t>
  </si>
  <si>
    <t>Jika Split pisoárová dělící stěna, materiám lisovaný laminát, bílý, na nerezové úchytky s možností posunu.
Montáž je zohledněna v položce Montáž koupelnových doplňků</t>
  </si>
  <si>
    <t>Sprchový závěs pratelný, vinyl, 180x200cm</t>
  </si>
  <si>
    <t>Včetně kroužků na zavěšení</t>
  </si>
  <si>
    <t>Dle výběru investora.</t>
  </si>
  <si>
    <t>Drátěná police rohová, jednoduchá, chrom</t>
  </si>
  <si>
    <t>Do sprchových koutů</t>
  </si>
  <si>
    <t>Tyč pevná na zavěšení sprchových závěsů, vnější průměr 25mm, Cu</t>
  </si>
  <si>
    <t>2 kusy: jedna cca 1bm rovná, druhá cca 2bm s odbočkou cca 1bm. Odbočka naletována přes T kus. Součástí dve plastové držáky a opracování Cu tyče. Montáž v polžce montáž koupelnových doplňků.
Dle výběru investora</t>
  </si>
  <si>
    <t>Armatury</t>
  </si>
  <si>
    <t>Šroubení  Ve 4300 přímé, G 1/2</t>
  </si>
  <si>
    <t>Otopná tělesa</t>
  </si>
  <si>
    <t>Demontáž těles otopných litinových článkových</t>
  </si>
  <si>
    <t>Otopná tělesa panelová Radik Klasik 33  900/ 900</t>
  </si>
  <si>
    <t>Otopná tělesa panelová Radik Klasik 33  900/ 600</t>
  </si>
  <si>
    <t>Tlakové zkoušky otopných těles Radik 33</t>
  </si>
  <si>
    <t>Montáž panelových těles 3řadých do délky 1500 mm</t>
  </si>
  <si>
    <t>Podlahy z dlaždic</t>
  </si>
  <si>
    <t>Kladení dlažby keramické do TM, vel. do 400x400 mm</t>
  </si>
  <si>
    <t>Položka je určena pro kladení dlažby do tmele, rovnoběžně se stěnou, bez skládání složitých vzorů a tvarů. Položka obsahuje :  - zametení podkladu, - rozměření plochy,  - rozbalení balíků, třídění nebo rozpojení dlaždic dodávaných v blocích, - příprava a nanesení tmele na plochu, - řezání dlaždic, - kladení dlaždic, - spárování, čištění dlažby, odstranění odpadu. Položka neobsahuje žádný materiál. Skládání složitých vzorů a tvarů se oceňuje individuálně.</t>
  </si>
  <si>
    <t>Spára podlaha - stěna, silikonem</t>
  </si>
  <si>
    <t>Včetně silikonování obložených stěn v koutech</t>
  </si>
  <si>
    <t>Příplatek za podlahy keram.v omezeném prostoru</t>
  </si>
  <si>
    <t>Plocha podlah v omezeném prostoru se určuje:  - plochou podlahy prováděné ve vynucené poloze ohraničené prostorem užším než 900 mm nebo nižším než 1 500 mm,  - plochou podlahy pod stroji vymezenou plochou největšího čtyřstranného pravoúhelníka opsaného půdorysu stroje, - plochou podlahy pod potrubím, danou součinem délky potrubí nad podlahou a šířky půdorysného průmětu potrubí zvětšeného na každou stranu o 150 mm. Plocha překrytí se počítá jen jednou</t>
  </si>
  <si>
    <t>Lišta hliníková přechodová, stejná výška dlaždic</t>
  </si>
  <si>
    <t>profil 27/ST, š. 30 mm, s narážecím profilem</t>
  </si>
  <si>
    <t>Položka je určena pro dekorativní spojení podlah o stejné výšce např. dlažba/dlažba, dlažba/lamino, atd.  Prodejce: PROFILPAS CZECH, s.r.o. U Podjezdu 523/2 400 44 Ústí nad Labem  tel: 731 487 73</t>
  </si>
  <si>
    <t>Přechod z dlažeb na PVC na chodbě - předpokládá se stejná výška dlažeb s PVC. Lišta připevněna šroubováním do hmoždinek - přechod pod dveřním křídlem</t>
  </si>
  <si>
    <t>Obklady (keramické)</t>
  </si>
  <si>
    <t>Příplatek za spárovací vodotěsnou hmotu - plošně</t>
  </si>
  <si>
    <t>Obkládání stěn vnitř.keram. do tmele do 300x300 mm</t>
  </si>
  <si>
    <t>Položka je určena pro obkládání stěn z obkladaček keramických, hutných a polohutných, do tmele, kladených rovnoběžně s podlahou. Položka obsahuje :  - očištění podkladu od nesoudržných částic, - rozměření plochy,  - rozbalení balíků, třídění nebo rozpojení obkladaček dodávaných v blocích, - příprava a nanesení tmelu na plochu, - řezání obkladaček, - kladení obkladaček, - spárování, čištění obkladu, odnesení odpadu na vykázané místo. Položka neobsahuje žádný materiál. Skládání složitých vzorů a tvarů se oceňuje individuálně</t>
  </si>
  <si>
    <t>Materiál v pol. 597813774</t>
  </si>
  <si>
    <t>Odsekání obkladů vnitřních</t>
  </si>
  <si>
    <t>Obklady stěn včetně prostoru za radiátory. Vyjma příček WC kabin a dělící stěny ve sprchách - ty součástí bourání příček z CP tl. 65mm pol. 962031113R00</t>
  </si>
  <si>
    <t>Obklad parapetu keramický šířka 30 cm</t>
  </si>
  <si>
    <t>do malty, obklad ve specifikaci</t>
  </si>
  <si>
    <t>Materiál na parapety připočítán k obkladům stěn a příček</t>
  </si>
  <si>
    <t>Penetrace podkladu pod obklady</t>
  </si>
  <si>
    <t>Položka obsahuje provedení penetračního nátěru včetně dodávky materiálu.</t>
  </si>
  <si>
    <t>Lišta hliníková ukončovacích k obkladům</t>
  </si>
  <si>
    <t>profil RB, pro tloušťku obkladu 8 mm</t>
  </si>
  <si>
    <t>Pokládání do tmele.  Prodejce: PROFILPAS CZECH, s.r.o. U Podjezdu 523/2 400 44 Ústí nad Labem  tel: 731 487 733</t>
  </si>
  <si>
    <t>Nátěry</t>
  </si>
  <si>
    <t>Nátěr OK lehkých "C" syntetický</t>
  </si>
  <si>
    <t>základní a dvojnásobný krycí</t>
  </si>
  <si>
    <t>Všech 5 zárubní</t>
  </si>
  <si>
    <t>Malby</t>
  </si>
  <si>
    <t>Odstranění malby oškrábáním v místnosti H do 3,8 m</t>
  </si>
  <si>
    <t>Položka není určena pro úplné odstranění malby latexové. Položka je určena pro jakýkoliv počet současně oškrabaných vrstev maleb</t>
  </si>
  <si>
    <t>Oškrábání původní malby STĚN a STROPŮ nad původním obkladem, včetně ŠPALET obou OKEN. Zohledněn nárůst plochy vzhledem ke klenbám stropů.</t>
  </si>
  <si>
    <t>Malba HET Klasik, bílá, bez penetrace, 2 x</t>
  </si>
  <si>
    <t>Výmalba STĚN a STROPŮ nad novými obklady, včetně Špalet OBOU oken a včetně zdiva nad obkledem příček WC kabinek.</t>
  </si>
  <si>
    <t>Univerzální sněhově bílá matná disperzní barva k okamžitému použití do vnitřních prostor, odolná vůči otěru za sucha, vodouředitelná, vysoce paropropustná, rychleschnoucí, vhodná na sanační systém MCO-1 ( KNAUF-PSS ). Bez vyspravení sádrou.</t>
  </si>
  <si>
    <t>Penetrace podkladu nátěrem HET, A - Grund 1x</t>
  </si>
  <si>
    <t>Penetrační přípravek k provádění základního napouštěcího nátěru pod interiérové a fasádní akrylátové barvy, lepidla, tmely a tenkovrstvé disperzní omítky</t>
  </si>
  <si>
    <t>Lešení a stavební výtahy</t>
  </si>
  <si>
    <t>Lešení lehké pomocné, výška podlahy do 3,5 m</t>
  </si>
  <si>
    <t>Pronájem lešení za den</t>
  </si>
  <si>
    <t>Položku nelze používat současně s položkami 941 94-1191 až -1392 pro jedno časové období.</t>
  </si>
  <si>
    <t>plocha lešení 2,5 x 3,5 ( š x v ) na 45dní realizace</t>
  </si>
  <si>
    <t>Bourání konstrukcí</t>
  </si>
  <si>
    <t>Bourání dlažeb keramických tl.10 mm, nad 1 m2</t>
  </si>
  <si>
    <t>sbíječka, dlaždice keramické</t>
  </si>
  <si>
    <t>V položce není kalkulována manipulace se sutí, která se oceňuje samostatně položkami souboru 979.  V položce nejsou zakalkulovány náklady na bourání podkladního lože pod dlažbou</t>
  </si>
  <si>
    <t>Bourání mazanin betonových tl. nad 10 cm, nad 4 m2</t>
  </si>
  <si>
    <t>pneumat. kladivo, tl. mazaniny 10 - 15 cm</t>
  </si>
  <si>
    <t>V položce není kalkulována manipulace se sutí, která se oceňuje samostatně položkami souboru 979. V položce nejsou zakalkulovány náklady na bourání podkladního lože pod mazaninou. Položka se používá pro bourání podlah z betonu prostého nebo litého asfaltu. Bourání případné výztuže v mazaninách se oceňuje položkami souboru 965 04 91.. Příplatek za bourání mazanin s výztuží.</t>
  </si>
  <si>
    <t>Sondou zjištěna průměrná vrstva 130mm</t>
  </si>
  <si>
    <t>Dočištění povrchu po vybourání dlažeb, tmel do 50%</t>
  </si>
  <si>
    <t>Položka se používá pro dočištění povrchu od tmele (tl. 3-5 mm) po vybourání dlažby. V položce není kalkulována manipulace se sutí, která se oceňuje samostatně položkami souboru 979.</t>
  </si>
  <si>
    <t>Příplatek, bourání mazanin se svař. síťí tl. 10 cm</t>
  </si>
  <si>
    <t>jednostranná výztuž svařovanou sítí</t>
  </si>
  <si>
    <t>Položka se používá jako příplatek k položkám bourání mazanin a betonových podkladů a obsahuje náklady na ztížení práce při bourání vyztužených mazanin nebo podkladů při jedné straně svařovanou sítí</t>
  </si>
  <si>
    <t>Sondou zjištěna přítomnost kari sítě v první vrstvě nazaniny</t>
  </si>
  <si>
    <t>Odstranění násypu tl. do 10 cm, plocha nad 2 m2</t>
  </si>
  <si>
    <t>V položce není kalkulována manipulace se sutí, která se oceňuje samostatně položkami souboru 979</t>
  </si>
  <si>
    <t>Po vybourání betonu</t>
  </si>
  <si>
    <t>Bourání příček z cihel pálených plných tl. 65 mm</t>
  </si>
  <si>
    <t>Příčky WC kabinek a dělící stěny mezi sprchami</t>
  </si>
  <si>
    <t>Vybourání kovových dveřních zárubní pl. do 2 m2</t>
  </si>
  <si>
    <t>V položce není kalkulována manipulace se sutí, která se oceňuje samostatně položkami souboru 979. V položce není zakalkulováno vyvěšení dveřních křídel. Tyto práce se oceňují samostatně položkami souboru 968 06-11.. nebo 07-11.. Vyvěšení křídel.</t>
  </si>
  <si>
    <t>Zárubně dveří WC kabinek a oboje vstupní</t>
  </si>
  <si>
    <t>Vyvěšení dřevěných dveřních křídel pl. do 2 m2</t>
  </si>
  <si>
    <t>Položka obsahuje náklady na vyvěšení křídel, jejich uložení a zpětné zavěšení po provedených stavebních úpravách. Položka se používá i pro vyvěšení křídel určených k likvidaci</t>
  </si>
  <si>
    <t>Přisekání rovných ostění cihelných na MVC</t>
  </si>
  <si>
    <t>Zvětšení otvoru pro nové dveře š.900mm do koupelny o 150mm jednostranně</t>
  </si>
  <si>
    <t>Vybourání ŽB překladů prefa  dl. 3 m, 50 kg/m</t>
  </si>
  <si>
    <t>Vybourání stávajících překladů</t>
  </si>
  <si>
    <t>Prorážení otvorů a ostatní bourací práce</t>
  </si>
  <si>
    <t>Otlučení omítek vnitřních stěn v rozsahu do 100 %</t>
  </si>
  <si>
    <t>S vyškrabáním spár, s očištěním zdiva. V položce není kalkulována manipulace se sutí, která se oceňuje samostatně položkami souboru 979.</t>
  </si>
  <si>
    <t>Olučení omítek pod původním obkladem.</t>
  </si>
  <si>
    <t>Ostatní přesuny hmot</t>
  </si>
  <si>
    <t>Přesun hmot pro opravy a údržbu do výšky 6 m</t>
  </si>
  <si>
    <t>Elektromontáže</t>
  </si>
  <si>
    <t>Svítidlo LED technické stropní závěsné 2 upev.body</t>
  </si>
  <si>
    <t>Krabice univerzální KU a odbočná KO se zapoj.,kruh</t>
  </si>
  <si>
    <t>vč.dodávky krabice KU 68-1903</t>
  </si>
  <si>
    <t>Vypínač TANGO</t>
  </si>
  <si>
    <t>Montáž vypínače</t>
  </si>
  <si>
    <t>Ukončení vodičů v rozvaděči + zapojení do 2,5 mm2</t>
  </si>
  <si>
    <t>Montáže sdělovací a zabezpečovací techniky</t>
  </si>
  <si>
    <t>Krabice KP 68 ve zdi včetně vysekání lůžka</t>
  </si>
  <si>
    <t>Zhotovení drážky ve zdi cihlovém</t>
  </si>
  <si>
    <t>Pro profesi ELEKTRO</t>
  </si>
  <si>
    <t>Zazdění drážky</t>
  </si>
  <si>
    <t>Elektroinstalace</t>
  </si>
  <si>
    <t>Demontáž svítidla nástěnného přisazeného</t>
  </si>
  <si>
    <t>Montáž LED svítidla stropního zavěšeného</t>
  </si>
  <si>
    <t>Uložení kabelu Cu 3 x 1,5 mm2 pevně</t>
  </si>
  <si>
    <t>Uložení kabelu Cu 3 x 2,5 mm2 pevně</t>
  </si>
  <si>
    <t>Přesuny sutí</t>
  </si>
  <si>
    <t>Svislá doprava suti a vybour. hmot za 1.PP nošením</t>
  </si>
  <si>
    <t>Položka je určena pro dopravu suti a vybouraných hmot za prvé podlaží  pod základním podlažím. Svislá doprava suti ze základního podlaží se neoceňuje. Základním podlažím je zpravidla přízemí</t>
  </si>
  <si>
    <t>Odvoz suti a vybour. hmot na skládku do 1 km</t>
  </si>
  <si>
    <t>kontejnerem 7 t</t>
  </si>
  <si>
    <t>Příplatek k odvozu za každý další 1 km</t>
  </si>
  <si>
    <t>Skládka je vzdálena 12km - fi. KVD Plus, Dolní Beřkovice</t>
  </si>
  <si>
    <t>Vnitrostaveništní doprava suti do 10 m</t>
  </si>
  <si>
    <t>Včetně případného složení na staveništní deponii</t>
  </si>
  <si>
    <t>Poplatek za skládku suti - směs betonu,cihel,dřeva</t>
  </si>
  <si>
    <t>Ostatní materiál</t>
  </si>
  <si>
    <t>Obkládačka 20x60, 20x40, 25x33</t>
  </si>
  <si>
    <t>glazované keramické obkladové prvk</t>
  </si>
  <si>
    <t>Dle výběru investora. Počítáno se ztratným ( s prořezem ) 15%.</t>
  </si>
  <si>
    <t>Dlažba Taurus Granit protiskluz. SB 300x300x9 mm</t>
  </si>
  <si>
    <t>Slinuté neglazované obkladové prvky s velmi nízkou nasákavostí pod 0,5 %, určené k obkladům podlah v exteriérech a interiérech, které jsou vystaveny povětrnostním vlivům a vysokému až extremnímu mechanickému namáhání, obrusu a znečištění.  SB - hladký protiskluzný povrc</t>
  </si>
  <si>
    <t>Dle výběru investora. Počítáno se ztratným 15%.</t>
  </si>
  <si>
    <t>Ventil radiátorový přímý 1/2"</t>
  </si>
  <si>
    <t>s přednastavením k napojení na ocelové potrubí materiál niklovaná mosaz OT 58  PN 10  T = 120°C  50056</t>
  </si>
  <si>
    <t>Hlavice termostatickáHPT 200, bílá</t>
  </si>
  <si>
    <t>k ventilům IVAR VD, VS, VCD, VCS a VCR + veškeré radiátory typu ventil kompakt (VK M - ventil), (M 30 x 1,5) clip clap systém Danfoss  rozsah regulace 6,5 až 28°C  50067</t>
  </si>
  <si>
    <t>Výlevka MIRA se sklopnou plastovou mřížkou</t>
  </si>
  <si>
    <t>H851046000000</t>
  </si>
  <si>
    <t>Montáž je započtena v montáži klozetů</t>
  </si>
  <si>
    <t>Sada upevňovací pro umyvadla a umývátka MIO</t>
  </si>
  <si>
    <t>H8903490000001  pro umyvadla a umývátk</t>
  </si>
  <si>
    <t>Sifon pisoárový PVC</t>
  </si>
  <si>
    <t>E sifon pisoárový, manžeta, DN 40, průtok 38 l/min.  ESO034</t>
  </si>
  <si>
    <t>Sifon umyvadlový PVC</t>
  </si>
  <si>
    <t>E sifon umyvadlový, nerezová miska, zátka. DN 40 mm, průtok 40 l/min  EU0N34</t>
  </si>
  <si>
    <t>Sádra stavební šedá G - 2 - BII    bal.   5 kg</t>
  </si>
  <si>
    <t>na paletách s fólií 1kg a 5 kg balení - 600 kg na paletě  30 kg balení - 900 kg na palet</t>
  </si>
  <si>
    <t>10 kg</t>
  </si>
  <si>
    <t>Zásuvka Tango 5518A-A2349</t>
  </si>
  <si>
    <t>5518A-A2349 B Zásuvka jednonásobná s ochranným kolíkem 5518A-A2349 B - Zásuvka jednonásobná s ochranným kolíkem  16 A, 250 V AC  Upevnění šrouby. Šroubové svorky (pro vodiče 1,5-2,5 mm2).  Design: Tango® Řazení: 2P+P</t>
  </si>
  <si>
    <t>Včetně strojku a montáže</t>
  </si>
  <si>
    <t>Kabel silový s Cu jádrem CYKY 3J x 1,5 mm2</t>
  </si>
  <si>
    <t>CYKY Instalační kabely  Použití: pro pevné uložení ve vnitřních a venkovních prostorách, v zemi, v betonu. Kabely jsou odolné proti UV záření a proti šíření plamene.  Konstrukce: 1. Měděné plné holé jádro 2. PVC izolace 3. Výplňový obal 4. PVC pláš</t>
  </si>
  <si>
    <t>Kabel silový s Cu jádrem CYKY 3O x 1,5 mm2</t>
  </si>
  <si>
    <t>Kabel silový s Cu jádrem CYKY 3J x 2,5 mm2</t>
  </si>
  <si>
    <t>Chránič proudový pro zásuvkové okruhy</t>
  </si>
  <si>
    <t>Proudové chrániče 100, 125 A, typ AC, A Proudové chrániče s podmíněným zkratovým proudem 10 kA. Pro ochranu: – před nebezpečným dotykem živých částí (I?n ? 30 mA) – před nebezpečným dotykem neživých částí – před vznikem požáru nebo zkratu při snížené izolační schopnosti elektrických zařízení. Možnost dodatečného upevnění pomocného spínače PS-OF125-1100 na pravý bok přístroje. Možnost propojení s jističi LTE, LTN propojovacími lištami nahoře i dole. N-pól u proudových chráničů při zapínání zapíná dříve a při vypínání vypíná později než ostatní póly.  Proudové chrániče 4pólové, typ AC Reagují na sinusové střídavé reziduální proudy (typ AC). Standardní typ pro běžné použití v domovních a bytových instalacích do 125 A, AC 230/400 V.</t>
  </si>
  <si>
    <t>Včetně montáže do domovního rozvaděče</t>
  </si>
  <si>
    <t>Chránič proudový pro světelné okruhy</t>
  </si>
  <si>
    <t>Včetně montáže do domovního rozvadeče</t>
  </si>
  <si>
    <t>Rámeček pro spínače a zásuvky Tango 3901A-B10</t>
  </si>
  <si>
    <t>3901A-B10 B Rámeček pro elektroinstalační přístroje, jednonásobný  Design: Tango®</t>
  </si>
  <si>
    <t>Rámeček pro spínače a zásuvky Tango 3901A-B20</t>
  </si>
  <si>
    <t>3901A-B20 B Rámeček pro elektroinstalační přístroje, dvojnásobný vodorovný  Pro vodorovnou montáž  Design: Tango</t>
  </si>
  <si>
    <t>Fólie stavební tl. 0,20 mm, š. 2000 mm, dl. 50 m</t>
  </si>
  <si>
    <t>Stavební fólie Vhodné jako separační vrstva nad tepelnou izolaci podlah u mokrých procesů. Nezbytná součást skladby plovoucích podlah s polystyrenem pro kročejový útlum (doporučená tloušťka fólie min. 0,10 mm).  Široké uplatnění při provádění stavebních prací, ochrana materiálu a konstrukcí před poškozením a znečištěním, možno použít také při balení.  Rozměry: 2 x 50 m</t>
  </si>
  <si>
    <t>Dveře vnitřní hladké plné 1kř. 90x197 bílé</t>
  </si>
  <si>
    <t>rám z MDF  vnitřní výplň - ztužená papírová voština  plášť - dřevovláknité desky tl. 3 mm</t>
  </si>
  <si>
    <t xml:space="preserve">1 x křídlo vstupních dveří do koupelny, 1 x křídlo vstupních dveří na WC, 1 x křídlo dveří WC kabinky pro OSSPO
</t>
  </si>
  <si>
    <t>Dveře vnitřní hladké plné 1kř. 70x197 bílé</t>
  </si>
  <si>
    <t>2 x dveřní křídlo dveří do dvou menších WC kabinek</t>
  </si>
  <si>
    <t>Kliky se štítem mezip  s ukazatelem 804 bílé</t>
  </si>
  <si>
    <t>pror dveře WC a koupelen tl. 40 - 43 mm  stavební kován</t>
  </si>
  <si>
    <t>Do 3 WC kabinek - přesný typ vybere objednatel</t>
  </si>
  <si>
    <t>Klika a knoflík se štítem  804  FAB/90 bílá</t>
  </si>
  <si>
    <t>Pro vstupní dveře do koupelny a WC</t>
  </si>
  <si>
    <t>VORN - Vedlejší a ostatní rozpočtové náklady</t>
  </si>
  <si>
    <t>Zařízení staveniště</t>
  </si>
  <si>
    <t>Zabezpečení staveniště</t>
  </si>
  <si>
    <t>Mobilní oplocení - od brány do zahrady po fasádu domu - 25bm</t>
  </si>
  <si>
    <t>Vybavení staveniště</t>
  </si>
  <si>
    <t>Pronájem staveništního rozvadeče na dobu realizace tj. 45kal. dnů.
Pronájem mobilního WC na dobu 6 týdnů.</t>
  </si>
  <si>
    <t>Připojení na energie a jejich spotřeba</t>
  </si>
  <si>
    <t>Připojení staveništního rozvaděče.
Spotřeba EE a vody jde na vrub objednatele.</t>
  </si>
  <si>
    <t>Inženýrské činnosti</t>
  </si>
  <si>
    <t>Revize zařízení staveniště</t>
  </si>
  <si>
    <t>Revize staveništního rozvadeče</t>
  </si>
  <si>
    <t>Doba výstavby:</t>
  </si>
  <si>
    <t>Začátek výstavby:</t>
  </si>
  <si>
    <t>Konec výstavby:</t>
  </si>
  <si>
    <t>Zpracováno dne:</t>
  </si>
  <si>
    <t>10.06.2021</t>
  </si>
  <si>
    <t>MJ</t>
  </si>
  <si>
    <t>m2</t>
  </si>
  <si>
    <t>t</t>
  </si>
  <si>
    <t>m3</t>
  </si>
  <si>
    <t>kus</t>
  </si>
  <si>
    <t>m</t>
  </si>
  <si>
    <t>soubor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</si>
  <si>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</si>
  <si>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</si>
  <si>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</si>
  <si>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</si>
  <si>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</si>
  <si>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</si>
  <si>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</si>
  <si>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</si>
  <si>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Psychiatrická nemocnice Horní Beřkovice</t>
  </si>
  <si>
    <t>Roman Antoš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</si>
  <si>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</si>
  <si>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</si>
  <si>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</si>
  <si>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</si>
  <si>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</si>
  <si>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</si>
  <si>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</si>
  <si>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</si>
  <si>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</si>
  <si>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</si>
  <si>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</si>
  <si>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</si>
  <si>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</si>
  <si>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</si>
  <si>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</si>
  <si>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</si>
  <si>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</si>
  <si>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</si>
  <si>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</si>
  <si>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28_</t>
  </si>
  <si>
    <t>31_</t>
  </si>
  <si>
    <t>34_</t>
  </si>
  <si>
    <t>60_</t>
  </si>
  <si>
    <t>61_</t>
  </si>
  <si>
    <t>63_</t>
  </si>
  <si>
    <t>64_</t>
  </si>
  <si>
    <t>711_</t>
  </si>
  <si>
    <t>713_</t>
  </si>
  <si>
    <t>721_</t>
  </si>
  <si>
    <t>722_</t>
  </si>
  <si>
    <t>725_</t>
  </si>
  <si>
    <t>734_</t>
  </si>
  <si>
    <t>735_</t>
  </si>
  <si>
    <t>771_</t>
  </si>
  <si>
    <t>781_</t>
  </si>
  <si>
    <t>783_</t>
  </si>
  <si>
    <t>784_</t>
  </si>
  <si>
    <t>94_</t>
  </si>
  <si>
    <t>96_</t>
  </si>
  <si>
    <t>97_</t>
  </si>
  <si>
    <t>H99_</t>
  </si>
  <si>
    <t>M21_</t>
  </si>
  <si>
    <t>M22_</t>
  </si>
  <si>
    <t>M65_</t>
  </si>
  <si>
    <t>S_</t>
  </si>
  <si>
    <t>Z99999_</t>
  </si>
  <si>
    <t>03VRN_</t>
  </si>
  <si>
    <t>04VRN_</t>
  </si>
  <si>
    <t>2_</t>
  </si>
  <si>
    <t>3_</t>
  </si>
  <si>
    <t>6_</t>
  </si>
  <si>
    <t>71_</t>
  </si>
  <si>
    <t>72_</t>
  </si>
  <si>
    <t>73_</t>
  </si>
  <si>
    <t>77_</t>
  </si>
  <si>
    <t>78_</t>
  </si>
  <si>
    <t>9_</t>
  </si>
  <si>
    <t>Z_</t>
  </si>
  <si>
    <t> 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</si>
  <si>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</si>
  <si>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</si>
  <si>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</si>
  <si>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</si>
  <si>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</si>
  <si>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</si>
  <si>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</si>
  <si>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</si>
  <si>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</si>
  <si>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</si>
  <si>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</si>
  <si>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</si>
  <si>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</si>
  <si>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</si>
  <si>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</si>
  <si>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F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</si>
  <si>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</si>
  <si>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</si>
  <si>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</si>
  <si>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</si>
  <si>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</si>
  <si>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</si>
  <si>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</si>
  <si>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</si>
  <si>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</si>
  <si>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</si>
  <si>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</si>
  <si>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</si>
  <si>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</si>
  <si>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</si>
  <si>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</si>
  <si>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</si>
  <si>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</si>
  <si>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</si>
  <si>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</si>
  <si>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</si>
  <si>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</si>
  <si>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</si>
  <si>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</si>
  <si>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</si>
  <si>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</si>
  <si>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</si>
  <si>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</si>
  <si>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</si>
  <si>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</si>
  <si>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</si>
  <si>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</si>
  <si>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</si>
  <si>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</si>
  <si>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</si>
  <si>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</si>
  <si>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</si>
  <si>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</si>
  <si>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</si>
  <si>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</si>
  <si>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</si>
  <si>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</si>
  <si>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</si>
  <si>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00673552/CZ00673552</t>
  </si>
  <si>
    <t>Roman Antoš, stavební technik a zaměstnanec nemocnice</t>
  </si>
  <si>
    <t>45dní</t>
  </si>
  <si>
    <t>30.9.2021</t>
  </si>
  <si>
    <t>45 dní</t>
  </si>
  <si>
    <t>Zdravotnické zařízení</t>
  </si>
  <si>
    <t>vhodné pror dveře  tl. 40 - 45 mm  stavební kování</t>
  </si>
  <si>
    <t>15.8.2021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</si>
</sst>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70C0"/>
      <name val="Arial"/>
      <family val="2"/>
    </font>
    <font>
      <i/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right" vertical="center"/>
      <protection/>
    </xf>
    <xf numFmtId="49" fontId="6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3" fillId="34" borderId="31" xfId="0" applyNumberFormat="1" applyFont="1" applyFill="1" applyBorder="1" applyAlignment="1" applyProtection="1">
      <alignment horizontal="center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49" fontId="14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49" fontId="15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5" fillId="0" borderId="31" xfId="0" applyNumberFormat="1" applyFont="1" applyFill="1" applyBorder="1" applyAlignment="1" applyProtection="1">
      <alignment horizontal="right" vertical="center"/>
      <protection/>
    </xf>
    <xf numFmtId="49" fontId="15" fillId="0" borderId="31" xfId="0" applyNumberFormat="1" applyFont="1" applyFill="1" applyBorder="1" applyAlignment="1" applyProtection="1">
      <alignment horizontal="right" vertical="center"/>
      <protection/>
    </xf>
    <xf numFmtId="4" fontId="15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4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49" fontId="4" fillId="0" borderId="27" xfId="0" applyNumberFormat="1" applyFont="1" applyFill="1" applyBorder="1" applyAlignment="1" applyProtection="1">
      <alignment horizontal="left" vertical="center"/>
      <protection/>
    </xf>
    <xf numFmtId="4" fontId="8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35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9" fontId="5" fillId="0" borderId="39" xfId="0" applyNumberFormat="1" applyFont="1" applyFill="1" applyBorder="1" applyAlignment="1" applyProtection="1">
      <alignment horizontal="right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/>
    </xf>
    <xf numFmtId="4" fontId="5" fillId="0" borderId="40" xfId="0" applyNumberFormat="1" applyFont="1" applyFill="1" applyBorder="1" applyAlignment="1" applyProtection="1">
      <alignment horizontal="right" vertical="center"/>
      <protection/>
    </xf>
    <xf numFmtId="49" fontId="5" fillId="0" borderId="41" xfId="0" applyNumberFormat="1" applyFont="1" applyFill="1" applyBorder="1" applyAlignment="1" applyProtection="1">
      <alignment horizontal="right" vertical="center"/>
      <protection/>
    </xf>
    <xf numFmtId="49" fontId="6" fillId="0" borderId="40" xfId="0" applyNumberFormat="1" applyFont="1" applyFill="1" applyBorder="1" applyAlignment="1" applyProtection="1">
      <alignment horizontal="left" vertical="center"/>
      <protection/>
    </xf>
    <xf numFmtId="4" fontId="6" fillId="0" borderId="40" xfId="0" applyNumberFormat="1" applyFont="1" applyFill="1" applyBorder="1" applyAlignment="1" applyProtection="1">
      <alignment horizontal="right" vertical="center"/>
      <protection/>
    </xf>
    <xf numFmtId="49" fontId="6" fillId="0" borderId="41" xfId="0" applyNumberFormat="1" applyFont="1" applyFill="1" applyBorder="1" applyAlignment="1" applyProtection="1">
      <alignment horizontal="right" vertical="center"/>
      <protection/>
    </xf>
    <xf numFmtId="0" fontId="51" fillId="0" borderId="12" xfId="0" applyNumberFormat="1" applyFont="1" applyFill="1" applyBorder="1" applyAlignment="1" applyProtection="1">
      <alignment vertical="center"/>
      <protection/>
    </xf>
    <xf numFmtId="49" fontId="52" fillId="0" borderId="0" xfId="0" applyNumberFormat="1" applyFont="1" applyFill="1" applyBorder="1" applyAlignment="1" applyProtection="1">
      <alignment horizontal="right" vertical="top"/>
      <protection/>
    </xf>
    <xf numFmtId="0" fontId="51" fillId="0" borderId="0" xfId="0" applyFont="1" applyAlignment="1">
      <alignment vertical="center"/>
    </xf>
    <xf numFmtId="0" fontId="51" fillId="0" borderId="13" xfId="0" applyNumberFormat="1" applyFont="1" applyFill="1" applyBorder="1" applyAlignment="1" applyProtection="1">
      <alignment vertical="center"/>
      <protection/>
    </xf>
    <xf numFmtId="49" fontId="52" fillId="0" borderId="30" xfId="0" applyNumberFormat="1" applyFont="1" applyFill="1" applyBorder="1" applyAlignment="1" applyProtection="1">
      <alignment horizontal="right" vertical="top"/>
      <protection/>
    </xf>
    <xf numFmtId="4" fontId="5" fillId="7" borderId="40" xfId="0" applyNumberFormat="1" applyFont="1" applyFill="1" applyBorder="1" applyAlignment="1" applyProtection="1">
      <alignment horizontal="right" vertical="center"/>
      <protection/>
    </xf>
    <xf numFmtId="49" fontId="3" fillId="7" borderId="42" xfId="0" applyNumberFormat="1" applyFont="1" applyFill="1" applyBorder="1" applyAlignment="1" applyProtection="1">
      <alignment horizontal="center" vertical="center"/>
      <protection/>
    </xf>
    <xf numFmtId="49" fontId="3" fillId="7" borderId="43" xfId="0" applyNumberFormat="1" applyFont="1" applyFill="1" applyBorder="1" applyAlignment="1" applyProtection="1">
      <alignment horizontal="center" vertical="center"/>
      <protection/>
    </xf>
    <xf numFmtId="49" fontId="4" fillId="7" borderId="27" xfId="0" applyNumberFormat="1" applyFont="1" applyFill="1" applyBorder="1" applyAlignment="1" applyProtection="1">
      <alignment horizontal="left" vertical="center"/>
      <protection/>
    </xf>
    <xf numFmtId="4" fontId="5" fillId="7" borderId="0" xfId="0" applyNumberFormat="1" applyFont="1" applyFill="1" applyBorder="1" applyAlignment="1" applyProtection="1">
      <alignment horizontal="right" vertical="center"/>
      <protection/>
    </xf>
    <xf numFmtId="49" fontId="4" fillId="7" borderId="0" xfId="0" applyNumberFormat="1" applyFont="1" applyFill="1" applyBorder="1" applyAlignment="1" applyProtection="1">
      <alignment horizontal="left" vertical="center"/>
      <protection/>
    </xf>
    <xf numFmtId="4" fontId="5" fillId="7" borderId="38" xfId="0" applyNumberFormat="1" applyFont="1" applyFill="1" applyBorder="1" applyAlignment="1" applyProtection="1">
      <alignment horizontal="right" vertical="center"/>
      <protection/>
    </xf>
    <xf numFmtId="4" fontId="6" fillId="7" borderId="0" xfId="0" applyNumberFormat="1" applyFont="1" applyFill="1" applyBorder="1" applyAlignment="1" applyProtection="1">
      <alignment horizontal="right" vertical="center"/>
      <protection/>
    </xf>
    <xf numFmtId="4" fontId="6" fillId="7" borderId="40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Alignment="1">
      <alignment vertical="center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0" xfId="0" applyNumberFormat="1" applyFont="1" applyFill="1" applyBorder="1" applyAlignment="1" applyProtection="1">
      <alignment horizontal="left" vertical="top"/>
      <protection/>
    </xf>
    <xf numFmtId="0" fontId="52" fillId="0" borderId="22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30" xfId="0" applyNumberFormat="1" applyFont="1" applyFill="1" applyBorder="1" applyAlignment="1" applyProtection="1">
      <alignment horizontal="left" vertical="top" wrapText="1"/>
      <protection/>
    </xf>
    <xf numFmtId="0" fontId="52" fillId="0" borderId="30" xfId="0" applyNumberFormat="1" applyFont="1" applyFill="1" applyBorder="1" applyAlignment="1" applyProtection="1">
      <alignment horizontal="left" vertical="top"/>
      <protection/>
    </xf>
    <xf numFmtId="0" fontId="52" fillId="0" borderId="44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22" xfId="0" applyNumberFormat="1" applyFont="1" applyFill="1" applyBorder="1" applyAlignment="1" applyProtection="1">
      <alignment horizontal="left" vertical="top"/>
      <protection/>
    </xf>
    <xf numFmtId="49" fontId="6" fillId="0" borderId="41" xfId="0" applyNumberFormat="1" applyFont="1" applyFill="1" applyBorder="1" applyAlignment="1" applyProtection="1">
      <alignment horizontal="left"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22" xfId="0" applyNumberFormat="1" applyFont="1" applyFill="1" applyBorder="1" applyAlignment="1" applyProtection="1">
      <alignment horizontal="left" vertical="top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7" borderId="0" xfId="0" applyNumberFormat="1" applyFont="1" applyFill="1" applyBorder="1" applyAlignment="1" applyProtection="1">
      <alignment horizontal="left" vertical="center"/>
      <protection/>
    </xf>
    <xf numFmtId="0" fontId="1" fillId="7" borderId="0" xfId="0" applyNumberFormat="1" applyFont="1" applyFill="1" applyBorder="1" applyAlignment="1" applyProtection="1">
      <alignment horizontal="left" vertical="center"/>
      <protection/>
    </xf>
    <xf numFmtId="0" fontId="1" fillId="7" borderId="22" xfId="0" applyNumberFormat="1" applyFont="1" applyFill="1" applyBorder="1" applyAlignment="1" applyProtection="1">
      <alignment horizontal="left" vertic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7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49" fontId="15" fillId="0" borderId="2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49" fontId="15" fillId="0" borderId="53" xfId="0" applyNumberFormat="1" applyFont="1" applyFill="1" applyBorder="1" applyAlignment="1" applyProtection="1">
      <alignment horizontal="left" vertical="center"/>
      <protection/>
    </xf>
    <xf numFmtId="0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54" xfId="0" applyNumberFormat="1" applyFont="1" applyFill="1" applyBorder="1" applyAlignment="1" applyProtection="1">
      <alignment horizontal="left" vertical="center"/>
      <protection/>
    </xf>
    <xf numFmtId="49" fontId="14" fillId="34" borderId="36" xfId="0" applyNumberFormat="1" applyFont="1" applyFill="1" applyBorder="1" applyAlignment="1" applyProtection="1">
      <alignment horizontal="left" vertical="center"/>
      <protection/>
    </xf>
    <xf numFmtId="0" fontId="14" fillId="34" borderId="55" xfId="0" applyNumberFormat="1" applyFont="1" applyFill="1" applyBorder="1" applyAlignment="1" applyProtection="1">
      <alignment horizontal="left" vertical="center"/>
      <protection/>
    </xf>
    <xf numFmtId="49" fontId="15" fillId="0" borderId="56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57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5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55" xfId="0" applyNumberFormat="1" applyFont="1" applyFill="1" applyBorder="1" applyAlignment="1" applyProtection="1">
      <alignment horizontal="center" vertical="center"/>
      <protection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 applyProtection="1">
      <alignment horizontal="left" vertical="center"/>
      <protection/>
    </xf>
    <xf numFmtId="0" fontId="16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7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56"/>
  <sheetViews>
    <sheetView tabSelected="1" zoomScalePageLayoutView="0" workbookViewId="0" topLeftCell="A1">
      <pane ySplit="11" topLeftCell="A177" activePane="bottomLeft" state="frozen"/>
      <selection pane="topLeft" activeCell="A1" sqref="A1"/>
      <selection pane="bottomLeft" activeCell="R189" sqref="R189"/>
    </sheetView>
  </sheetViews>
  <sheetFormatPr defaultColWidth="11.57421875" defaultRowHeight="12.75"/>
  <cols>
    <col min="1" max="1" width="3.7109375" style="74" customWidth="1"/>
    <col min="2" max="2" width="14.28125" style="74" customWidth="1"/>
    <col min="3" max="3" width="1.421875" style="74" customWidth="1"/>
    <col min="4" max="4" width="55.28125" style="74" customWidth="1"/>
    <col min="5" max="6" width="11.57421875" style="74" customWidth="1"/>
    <col min="7" max="7" width="6.7109375" style="74" customWidth="1"/>
    <col min="8" max="8" width="12.8515625" style="74" customWidth="1"/>
    <col min="9" max="9" width="12.00390625" style="98" customWidth="1"/>
    <col min="10" max="10" width="0.13671875" style="74" customWidth="1"/>
    <col min="11" max="11" width="14.28125" style="74" hidden="1" customWidth="1"/>
    <col min="12" max="12" width="14.28125" style="74" customWidth="1"/>
    <col min="13" max="13" width="11.7109375" style="74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4" ht="12.75">
      <c r="A2" s="155" t="s">
        <v>1</v>
      </c>
      <c r="B2" s="156"/>
      <c r="C2" s="157" t="s">
        <v>290</v>
      </c>
      <c r="D2" s="100"/>
      <c r="E2" s="159" t="s">
        <v>588</v>
      </c>
      <c r="F2" s="156"/>
      <c r="G2" s="160" t="s">
        <v>729</v>
      </c>
      <c r="H2" s="156"/>
      <c r="I2" s="161" t="s">
        <v>602</v>
      </c>
      <c r="J2" s="161" t="s">
        <v>608</v>
      </c>
      <c r="K2" s="156"/>
      <c r="L2" s="156"/>
      <c r="M2" s="162"/>
      <c r="N2" s="4"/>
    </row>
    <row r="3" spans="1:14" ht="12.75">
      <c r="A3" s="148"/>
      <c r="B3" s="102"/>
      <c r="C3" s="158"/>
      <c r="D3" s="158"/>
      <c r="E3" s="102"/>
      <c r="F3" s="102"/>
      <c r="G3" s="102"/>
      <c r="H3" s="102"/>
      <c r="I3" s="102"/>
      <c r="J3" s="102"/>
      <c r="K3" s="102"/>
      <c r="L3" s="102"/>
      <c r="M3" s="146"/>
      <c r="N3" s="4"/>
    </row>
    <row r="4" spans="1:14" ht="12.75">
      <c r="A4" s="141" t="s">
        <v>2</v>
      </c>
      <c r="B4" s="102"/>
      <c r="C4" s="101" t="s">
        <v>732</v>
      </c>
      <c r="D4" s="102"/>
      <c r="E4" s="144" t="s">
        <v>589</v>
      </c>
      <c r="F4" s="102"/>
      <c r="G4" s="149" t="s">
        <v>734</v>
      </c>
      <c r="H4" s="102"/>
      <c r="I4" s="101" t="s">
        <v>603</v>
      </c>
      <c r="J4" s="101" t="s">
        <v>609</v>
      </c>
      <c r="K4" s="102"/>
      <c r="L4" s="102"/>
      <c r="M4" s="146"/>
      <c r="N4" s="4"/>
    </row>
    <row r="5" spans="1:14" ht="12.75">
      <c r="A5" s="148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46"/>
      <c r="N5" s="4"/>
    </row>
    <row r="6" spans="1:14" ht="12.75">
      <c r="A6" s="141" t="s">
        <v>3</v>
      </c>
      <c r="B6" s="102"/>
      <c r="C6" s="101" t="s">
        <v>291</v>
      </c>
      <c r="D6" s="102"/>
      <c r="E6" s="144" t="s">
        <v>590</v>
      </c>
      <c r="F6" s="102"/>
      <c r="G6" s="149" t="s">
        <v>730</v>
      </c>
      <c r="H6" s="102"/>
      <c r="I6" s="101" t="s">
        <v>604</v>
      </c>
      <c r="J6" s="150" t="s">
        <v>610</v>
      </c>
      <c r="K6" s="151"/>
      <c r="L6" s="151"/>
      <c r="M6" s="152"/>
      <c r="N6" s="4"/>
    </row>
    <row r="7" spans="1:14" ht="12.75">
      <c r="A7" s="148"/>
      <c r="B7" s="102"/>
      <c r="C7" s="102"/>
      <c r="D7" s="102"/>
      <c r="E7" s="102"/>
      <c r="F7" s="102"/>
      <c r="G7" s="102"/>
      <c r="H7" s="102"/>
      <c r="I7" s="102"/>
      <c r="J7" s="151"/>
      <c r="K7" s="151"/>
      <c r="L7" s="151"/>
      <c r="M7" s="152"/>
      <c r="N7" s="4"/>
    </row>
    <row r="8" spans="1:14" ht="12.75">
      <c r="A8" s="141" t="s">
        <v>4</v>
      </c>
      <c r="B8" s="102"/>
      <c r="C8" s="101">
        <v>8011</v>
      </c>
      <c r="D8" s="102"/>
      <c r="E8" s="144" t="s">
        <v>591</v>
      </c>
      <c r="F8" s="102"/>
      <c r="G8" s="144" t="s">
        <v>592</v>
      </c>
      <c r="H8" s="102"/>
      <c r="I8" s="101" t="s">
        <v>605</v>
      </c>
      <c r="J8" s="145" t="s">
        <v>728</v>
      </c>
      <c r="K8" s="102"/>
      <c r="L8" s="102"/>
      <c r="M8" s="146"/>
      <c r="N8" s="4"/>
    </row>
    <row r="9" spans="1:14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7"/>
      <c r="N9" s="4"/>
    </row>
    <row r="10" spans="1:64" ht="12.75">
      <c r="A10" s="1" t="s">
        <v>5</v>
      </c>
      <c r="B10" s="9" t="s">
        <v>140</v>
      </c>
      <c r="C10" s="130" t="s">
        <v>292</v>
      </c>
      <c r="D10" s="131"/>
      <c r="E10" s="131"/>
      <c r="F10" s="132"/>
      <c r="G10" s="9" t="s">
        <v>593</v>
      </c>
      <c r="H10" s="16" t="s">
        <v>601</v>
      </c>
      <c r="I10" s="90" t="s">
        <v>606</v>
      </c>
      <c r="J10" s="133" t="s">
        <v>611</v>
      </c>
      <c r="K10" s="134"/>
      <c r="L10" s="135"/>
      <c r="M10" s="22" t="s">
        <v>616</v>
      </c>
      <c r="N10" s="26"/>
      <c r="BK10" s="27" t="s">
        <v>673</v>
      </c>
      <c r="BL10" s="32" t="s">
        <v>676</v>
      </c>
    </row>
    <row r="11" spans="1:62" ht="12.75">
      <c r="A11" s="2" t="s">
        <v>6</v>
      </c>
      <c r="B11" s="10" t="s">
        <v>6</v>
      </c>
      <c r="C11" s="136" t="s">
        <v>293</v>
      </c>
      <c r="D11" s="137"/>
      <c r="E11" s="137"/>
      <c r="F11" s="138"/>
      <c r="G11" s="10" t="s">
        <v>6</v>
      </c>
      <c r="H11" s="10" t="s">
        <v>6</v>
      </c>
      <c r="I11" s="91" t="s">
        <v>607</v>
      </c>
      <c r="J11" s="19" t="s">
        <v>612</v>
      </c>
      <c r="K11" s="20" t="s">
        <v>614</v>
      </c>
      <c r="L11" s="21" t="s">
        <v>615</v>
      </c>
      <c r="M11" s="23" t="s">
        <v>617</v>
      </c>
      <c r="N11" s="26"/>
      <c r="Z11" s="27" t="s">
        <v>619</v>
      </c>
      <c r="AA11" s="27" t="s">
        <v>620</v>
      </c>
      <c r="AB11" s="27" t="s">
        <v>621</v>
      </c>
      <c r="AC11" s="27" t="s">
        <v>622</v>
      </c>
      <c r="AD11" s="27" t="s">
        <v>623</v>
      </c>
      <c r="AE11" s="27" t="s">
        <v>624</v>
      </c>
      <c r="AF11" s="27" t="s">
        <v>625</v>
      </c>
      <c r="AG11" s="27" t="s">
        <v>626</v>
      </c>
      <c r="AH11" s="27" t="s">
        <v>627</v>
      </c>
      <c r="BH11" s="27" t="s">
        <v>670</v>
      </c>
      <c r="BI11" s="27" t="s">
        <v>671</v>
      </c>
      <c r="BJ11" s="27" t="s">
        <v>672</v>
      </c>
    </row>
    <row r="12" spans="1:47" ht="12.75">
      <c r="A12" s="64"/>
      <c r="B12" s="65" t="s">
        <v>34</v>
      </c>
      <c r="C12" s="139" t="s">
        <v>294</v>
      </c>
      <c r="D12" s="140"/>
      <c r="E12" s="140"/>
      <c r="F12" s="140"/>
      <c r="G12" s="66" t="s">
        <v>6</v>
      </c>
      <c r="H12" s="66" t="s">
        <v>6</v>
      </c>
      <c r="I12" s="92" t="s">
        <v>6</v>
      </c>
      <c r="J12" s="67">
        <f>SUM(J13:J13)</f>
        <v>0</v>
      </c>
      <c r="K12" s="67">
        <f>SUM(K13:K13)</f>
        <v>0</v>
      </c>
      <c r="L12" s="67">
        <f>SUM(L13:L13)</f>
        <v>0</v>
      </c>
      <c r="M12" s="68"/>
      <c r="N12" s="4"/>
      <c r="AI12" s="27"/>
      <c r="AS12" s="33">
        <f>SUM(AJ13:AJ13)</f>
        <v>0</v>
      </c>
      <c r="AT12" s="33">
        <f>SUM(AK13:AK13)</f>
        <v>0</v>
      </c>
      <c r="AU12" s="33">
        <f>SUM(AL13:AL13)</f>
        <v>0</v>
      </c>
    </row>
    <row r="13" spans="1:64" ht="12.75">
      <c r="A13" s="3" t="s">
        <v>7</v>
      </c>
      <c r="B13" s="11" t="s">
        <v>141</v>
      </c>
      <c r="C13" s="106" t="s">
        <v>295</v>
      </c>
      <c r="D13" s="107"/>
      <c r="E13" s="107"/>
      <c r="F13" s="107"/>
      <c r="G13" s="11" t="s">
        <v>594</v>
      </c>
      <c r="H13" s="17">
        <v>60.6816</v>
      </c>
      <c r="I13" s="93">
        <v>0</v>
      </c>
      <c r="J13" s="17">
        <f>H13*AO13</f>
        <v>0</v>
      </c>
      <c r="K13" s="17">
        <f>H13*AP13</f>
        <v>0</v>
      </c>
      <c r="L13" s="17">
        <f>H13*I13</f>
        <v>0</v>
      </c>
      <c r="M13" s="24" t="s">
        <v>618</v>
      </c>
      <c r="N13" s="4"/>
      <c r="Z13" s="28">
        <f>IF(AQ13="5",BJ13,0)</f>
        <v>0</v>
      </c>
      <c r="AB13" s="28">
        <f>IF(AQ13="1",BH13,0)</f>
        <v>0</v>
      </c>
      <c r="AC13" s="28">
        <f>IF(AQ13="1",BI13,0)</f>
        <v>0</v>
      </c>
      <c r="AD13" s="28">
        <f>IF(AQ13="7",BH13,0)</f>
        <v>0</v>
      </c>
      <c r="AE13" s="28">
        <f>IF(AQ13="7",BI13,0)</f>
        <v>0</v>
      </c>
      <c r="AF13" s="28">
        <f>IF(AQ13="2",BH13,0)</f>
        <v>0</v>
      </c>
      <c r="AG13" s="28">
        <f>IF(AQ13="2",BI13,0)</f>
        <v>0</v>
      </c>
      <c r="AH13" s="28">
        <f>IF(AQ13="0",BJ13,0)</f>
        <v>0</v>
      </c>
      <c r="AI13" s="27"/>
      <c r="AJ13" s="17">
        <f>IF(AN13=0,L13,0)</f>
        <v>0</v>
      </c>
      <c r="AK13" s="17">
        <f>IF(AN13=15,L13,0)</f>
        <v>0</v>
      </c>
      <c r="AL13" s="17">
        <f>IF(AN13=21,L13,0)</f>
        <v>0</v>
      </c>
      <c r="AN13" s="28">
        <v>21</v>
      </c>
      <c r="AO13" s="28">
        <f>I13*0</f>
        <v>0</v>
      </c>
      <c r="AP13" s="28">
        <f>I13*(1-0)</f>
        <v>0</v>
      </c>
      <c r="AQ13" s="29" t="s">
        <v>7</v>
      </c>
      <c r="AV13" s="28">
        <f>AW13+AX13</f>
        <v>0</v>
      </c>
      <c r="AW13" s="28">
        <f>H13*AO13</f>
        <v>0</v>
      </c>
      <c r="AX13" s="28">
        <f>H13*AP13</f>
        <v>0</v>
      </c>
      <c r="AY13" s="31" t="s">
        <v>629</v>
      </c>
      <c r="AZ13" s="31" t="s">
        <v>658</v>
      </c>
      <c r="BA13" s="27" t="s">
        <v>669</v>
      </c>
      <c r="BC13" s="28">
        <f>AW13+AX13</f>
        <v>0</v>
      </c>
      <c r="BD13" s="28">
        <f>I13/(100-BE13)*100</f>
        <v>0</v>
      </c>
      <c r="BE13" s="28">
        <v>0</v>
      </c>
      <c r="BF13" s="28">
        <f>13</f>
        <v>13</v>
      </c>
      <c r="BH13" s="17">
        <f>H13*AO13</f>
        <v>0</v>
      </c>
      <c r="BI13" s="17">
        <f>H13*AP13</f>
        <v>0</v>
      </c>
      <c r="BJ13" s="17">
        <f>H13*I13</f>
        <v>0</v>
      </c>
      <c r="BK13" s="17" t="s">
        <v>674</v>
      </c>
      <c r="BL13" s="28">
        <v>28</v>
      </c>
    </row>
    <row r="14" spans="1:14" s="86" customFormat="1" ht="12">
      <c r="A14" s="84"/>
      <c r="B14" s="85" t="s">
        <v>139</v>
      </c>
      <c r="C14" s="103" t="s">
        <v>296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5"/>
      <c r="N14" s="84"/>
    </row>
    <row r="15" spans="1:47" ht="12.75">
      <c r="A15" s="69"/>
      <c r="B15" s="70" t="s">
        <v>37</v>
      </c>
      <c r="C15" s="108" t="s">
        <v>297</v>
      </c>
      <c r="D15" s="109"/>
      <c r="E15" s="109"/>
      <c r="F15" s="109"/>
      <c r="G15" s="71" t="s">
        <v>6</v>
      </c>
      <c r="H15" s="71" t="s">
        <v>6</v>
      </c>
      <c r="I15" s="94" t="s">
        <v>6</v>
      </c>
      <c r="J15" s="72">
        <f>SUM(J16:J24)</f>
        <v>0</v>
      </c>
      <c r="K15" s="72">
        <f>SUM(K16:K24)</f>
        <v>0</v>
      </c>
      <c r="L15" s="72">
        <f>SUM(L16:L24)</f>
        <v>0</v>
      </c>
      <c r="M15" s="73"/>
      <c r="N15" s="4"/>
      <c r="AI15" s="27"/>
      <c r="AS15" s="33">
        <f>SUM(AJ16:AJ24)</f>
        <v>0</v>
      </c>
      <c r="AT15" s="33">
        <f>SUM(AK16:AK24)</f>
        <v>0</v>
      </c>
      <c r="AU15" s="33">
        <f>SUM(AL16:AL24)</f>
        <v>0</v>
      </c>
    </row>
    <row r="16" spans="1:64" ht="12.75">
      <c r="A16" s="3" t="s">
        <v>8</v>
      </c>
      <c r="B16" s="11" t="s">
        <v>142</v>
      </c>
      <c r="C16" s="106" t="s">
        <v>298</v>
      </c>
      <c r="D16" s="107"/>
      <c r="E16" s="107"/>
      <c r="F16" s="107"/>
      <c r="G16" s="11" t="s">
        <v>595</v>
      </c>
      <c r="H16" s="17">
        <v>0.0448</v>
      </c>
      <c r="I16" s="93">
        <v>0</v>
      </c>
      <c r="J16" s="17">
        <f>H16*AO16</f>
        <v>0</v>
      </c>
      <c r="K16" s="17">
        <f>H16*AP16</f>
        <v>0</v>
      </c>
      <c r="L16" s="17">
        <f>H16*I16</f>
        <v>0</v>
      </c>
      <c r="M16" s="24" t="s">
        <v>618</v>
      </c>
      <c r="N16" s="4"/>
      <c r="Z16" s="28">
        <f>IF(AQ16="5",BJ16,0)</f>
        <v>0</v>
      </c>
      <c r="AB16" s="28">
        <f>IF(AQ16="1",BH16,0)</f>
        <v>0</v>
      </c>
      <c r="AC16" s="28">
        <f>IF(AQ16="1",BI16,0)</f>
        <v>0</v>
      </c>
      <c r="AD16" s="28">
        <f>IF(AQ16="7",BH16,0)</f>
        <v>0</v>
      </c>
      <c r="AE16" s="28">
        <f>IF(AQ16="7",BI16,0)</f>
        <v>0</v>
      </c>
      <c r="AF16" s="28">
        <f>IF(AQ16="2",BH16,0)</f>
        <v>0</v>
      </c>
      <c r="AG16" s="28">
        <f>IF(AQ16="2",BI16,0)</f>
        <v>0</v>
      </c>
      <c r="AH16" s="28">
        <f>IF(AQ16="0",BJ16,0)</f>
        <v>0</v>
      </c>
      <c r="AI16" s="27"/>
      <c r="AJ16" s="17">
        <f>IF(AN16=0,L16,0)</f>
        <v>0</v>
      </c>
      <c r="AK16" s="17">
        <f>IF(AN16=15,L16,0)</f>
        <v>0</v>
      </c>
      <c r="AL16" s="17">
        <f>IF(AN16=21,L16,0)</f>
        <v>0</v>
      </c>
      <c r="AN16" s="28">
        <v>21</v>
      </c>
      <c r="AO16" s="28">
        <f>I16*0.715595683453237</f>
        <v>0</v>
      </c>
      <c r="AP16" s="28">
        <f>I16*(1-0.715595683453237)</f>
        <v>0</v>
      </c>
      <c r="AQ16" s="29" t="s">
        <v>7</v>
      </c>
      <c r="AV16" s="28">
        <f>AW16+AX16</f>
        <v>0</v>
      </c>
      <c r="AW16" s="28">
        <f>H16*AO16</f>
        <v>0</v>
      </c>
      <c r="AX16" s="28">
        <f>H16*AP16</f>
        <v>0</v>
      </c>
      <c r="AY16" s="31" t="s">
        <v>630</v>
      </c>
      <c r="AZ16" s="31" t="s">
        <v>659</v>
      </c>
      <c r="BA16" s="27" t="s">
        <v>669</v>
      </c>
      <c r="BC16" s="28">
        <f>AW16+AX16</f>
        <v>0</v>
      </c>
      <c r="BD16" s="28">
        <f>I16/(100-BE16)*100</f>
        <v>0</v>
      </c>
      <c r="BE16" s="28">
        <v>0</v>
      </c>
      <c r="BF16" s="28">
        <f>16</f>
        <v>16</v>
      </c>
      <c r="BH16" s="17">
        <f>H16*AO16</f>
        <v>0</v>
      </c>
      <c r="BI16" s="17">
        <f>H16*AP16</f>
        <v>0</v>
      </c>
      <c r="BJ16" s="17">
        <f>H16*I16</f>
        <v>0</v>
      </c>
      <c r="BK16" s="17" t="s">
        <v>674</v>
      </c>
      <c r="BL16" s="28">
        <v>31</v>
      </c>
    </row>
    <row r="17" spans="1:14" ht="12.75">
      <c r="A17" s="4"/>
      <c r="B17" s="13" t="s">
        <v>143</v>
      </c>
      <c r="C17" s="120" t="s">
        <v>299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2"/>
      <c r="N17" s="4"/>
    </row>
    <row r="18" spans="1:14" ht="25.5" customHeight="1">
      <c r="A18" s="4"/>
      <c r="B18" s="13" t="s">
        <v>144</v>
      </c>
      <c r="C18" s="115" t="s">
        <v>300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4"/>
    </row>
    <row r="19" spans="1:14" s="86" customFormat="1" ht="25.5" customHeight="1">
      <c r="A19" s="84"/>
      <c r="B19" s="85" t="s">
        <v>139</v>
      </c>
      <c r="C19" s="103" t="s">
        <v>301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84"/>
    </row>
    <row r="20" spans="1:64" ht="12.75">
      <c r="A20" s="3" t="s">
        <v>9</v>
      </c>
      <c r="B20" s="11" t="s">
        <v>145</v>
      </c>
      <c r="C20" s="106" t="s">
        <v>298</v>
      </c>
      <c r="D20" s="107"/>
      <c r="E20" s="107"/>
      <c r="F20" s="107"/>
      <c r="G20" s="11" t="s">
        <v>595</v>
      </c>
      <c r="H20" s="17">
        <v>0.02016</v>
      </c>
      <c r="I20" s="93">
        <v>0</v>
      </c>
      <c r="J20" s="17">
        <f>H20*AO20</f>
        <v>0</v>
      </c>
      <c r="K20" s="17">
        <f>H20*AP20</f>
        <v>0</v>
      </c>
      <c r="L20" s="17">
        <f>H20*I20</f>
        <v>0</v>
      </c>
      <c r="M20" s="24" t="s">
        <v>618</v>
      </c>
      <c r="N20" s="4"/>
      <c r="Z20" s="28">
        <f>IF(AQ20="5",BJ20,0)</f>
        <v>0</v>
      </c>
      <c r="AB20" s="28">
        <f>IF(AQ20="1",BH20,0)</f>
        <v>0</v>
      </c>
      <c r="AC20" s="28">
        <f>IF(AQ20="1",BI20,0)</f>
        <v>0</v>
      </c>
      <c r="AD20" s="28">
        <f>IF(AQ20="7",BH20,0)</f>
        <v>0</v>
      </c>
      <c r="AE20" s="28">
        <f>IF(AQ20="7",BI20,0)</f>
        <v>0</v>
      </c>
      <c r="AF20" s="28">
        <f>IF(AQ20="2",BH20,0)</f>
        <v>0</v>
      </c>
      <c r="AG20" s="28">
        <f>IF(AQ20="2",BI20,0)</f>
        <v>0</v>
      </c>
      <c r="AH20" s="28">
        <f>IF(AQ20="0",BJ20,0)</f>
        <v>0</v>
      </c>
      <c r="AI20" s="27"/>
      <c r="AJ20" s="17">
        <f>IF(AN20=0,L20,0)</f>
        <v>0</v>
      </c>
      <c r="AK20" s="17">
        <f>IF(AN20=15,L20,0)</f>
        <v>0</v>
      </c>
      <c r="AL20" s="17">
        <f>IF(AN20=21,L20,0)</f>
        <v>0</v>
      </c>
      <c r="AN20" s="28">
        <v>21</v>
      </c>
      <c r="AO20" s="28">
        <f>I20*0.717627142857143</f>
        <v>0</v>
      </c>
      <c r="AP20" s="28">
        <f>I20*(1-0.717627142857143)</f>
        <v>0</v>
      </c>
      <c r="AQ20" s="29" t="s">
        <v>7</v>
      </c>
      <c r="AV20" s="28">
        <f>AW20+AX20</f>
        <v>0</v>
      </c>
      <c r="AW20" s="28">
        <f>H20*AO20</f>
        <v>0</v>
      </c>
      <c r="AX20" s="28">
        <f>H20*AP20</f>
        <v>0</v>
      </c>
      <c r="AY20" s="31" t="s">
        <v>630</v>
      </c>
      <c r="AZ20" s="31" t="s">
        <v>659</v>
      </c>
      <c r="BA20" s="27" t="s">
        <v>669</v>
      </c>
      <c r="BC20" s="28">
        <f>AW20+AX20</f>
        <v>0</v>
      </c>
      <c r="BD20" s="28">
        <f>I20/(100-BE20)*100</f>
        <v>0</v>
      </c>
      <c r="BE20" s="28">
        <v>0</v>
      </c>
      <c r="BF20" s="28">
        <f>20</f>
        <v>20</v>
      </c>
      <c r="BH20" s="17">
        <f>H20*AO20</f>
        <v>0</v>
      </c>
      <c r="BI20" s="17">
        <f>H20*AP20</f>
        <v>0</v>
      </c>
      <c r="BJ20" s="17">
        <f>H20*I20</f>
        <v>0</v>
      </c>
      <c r="BK20" s="17" t="s">
        <v>674</v>
      </c>
      <c r="BL20" s="28">
        <v>31</v>
      </c>
    </row>
    <row r="21" spans="1:14" ht="12.75">
      <c r="A21" s="4"/>
      <c r="B21" s="13" t="s">
        <v>143</v>
      </c>
      <c r="C21" s="120" t="s">
        <v>302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4"/>
    </row>
    <row r="22" spans="1:14" ht="25.5" customHeight="1">
      <c r="A22" s="4"/>
      <c r="B22" s="13" t="s">
        <v>144</v>
      </c>
      <c r="C22" s="115" t="s">
        <v>303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4"/>
    </row>
    <row r="23" spans="1:14" s="86" customFormat="1" ht="25.5" customHeight="1">
      <c r="A23" s="84"/>
      <c r="B23" s="85" t="s">
        <v>139</v>
      </c>
      <c r="C23" s="103" t="s">
        <v>304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84"/>
    </row>
    <row r="24" spans="1:64" ht="12.75">
      <c r="A24" s="3" t="s">
        <v>10</v>
      </c>
      <c r="B24" s="11" t="s">
        <v>146</v>
      </c>
      <c r="C24" s="106" t="s">
        <v>305</v>
      </c>
      <c r="D24" s="107"/>
      <c r="E24" s="107"/>
      <c r="F24" s="107"/>
      <c r="G24" s="11" t="s">
        <v>594</v>
      </c>
      <c r="H24" s="17">
        <v>3.01</v>
      </c>
      <c r="I24" s="93">
        <v>0</v>
      </c>
      <c r="J24" s="17">
        <f>H24*AO24</f>
        <v>0</v>
      </c>
      <c r="K24" s="17">
        <f>H24*AP24</f>
        <v>0</v>
      </c>
      <c r="L24" s="17">
        <f>H24*I24</f>
        <v>0</v>
      </c>
      <c r="M24" s="24" t="s">
        <v>618</v>
      </c>
      <c r="N24" s="4"/>
      <c r="Z24" s="28">
        <f>IF(AQ24="5",BJ24,0)</f>
        <v>0</v>
      </c>
      <c r="AB24" s="28">
        <f>IF(AQ24="1",BH24,0)</f>
        <v>0</v>
      </c>
      <c r="AC24" s="28">
        <f>IF(AQ24="1",BI24,0)</f>
        <v>0</v>
      </c>
      <c r="AD24" s="28">
        <f>IF(AQ24="7",BH24,0)</f>
        <v>0</v>
      </c>
      <c r="AE24" s="28">
        <f>IF(AQ24="7",BI24,0)</f>
        <v>0</v>
      </c>
      <c r="AF24" s="28">
        <f>IF(AQ24="2",BH24,0)</f>
        <v>0</v>
      </c>
      <c r="AG24" s="28">
        <f>IF(AQ24="2",BI24,0)</f>
        <v>0</v>
      </c>
      <c r="AH24" s="28">
        <f>IF(AQ24="0",BJ24,0)</f>
        <v>0</v>
      </c>
      <c r="AI24" s="27"/>
      <c r="AJ24" s="17">
        <f>IF(AN24=0,L24,0)</f>
        <v>0</v>
      </c>
      <c r="AK24" s="17">
        <f>IF(AN24=15,L24,0)</f>
        <v>0</v>
      </c>
      <c r="AL24" s="17">
        <f>IF(AN24=21,L24,0)</f>
        <v>0</v>
      </c>
      <c r="AN24" s="28">
        <v>21</v>
      </c>
      <c r="AO24" s="28">
        <f>I24*0.181933962264151</f>
        <v>0</v>
      </c>
      <c r="AP24" s="28">
        <f>I24*(1-0.181933962264151)</f>
        <v>0</v>
      </c>
      <c r="AQ24" s="29" t="s">
        <v>7</v>
      </c>
      <c r="AV24" s="28">
        <f>AW24+AX24</f>
        <v>0</v>
      </c>
      <c r="AW24" s="28">
        <f>H24*AO24</f>
        <v>0</v>
      </c>
      <c r="AX24" s="28">
        <f>H24*AP24</f>
        <v>0</v>
      </c>
      <c r="AY24" s="31" t="s">
        <v>630</v>
      </c>
      <c r="AZ24" s="31" t="s">
        <v>659</v>
      </c>
      <c r="BA24" s="27" t="s">
        <v>669</v>
      </c>
      <c r="BC24" s="28">
        <f>AW24+AX24</f>
        <v>0</v>
      </c>
      <c r="BD24" s="28">
        <f>I24/(100-BE24)*100</f>
        <v>0</v>
      </c>
      <c r="BE24" s="28">
        <v>0</v>
      </c>
      <c r="BF24" s="28">
        <f>24</f>
        <v>24</v>
      </c>
      <c r="BH24" s="17">
        <f>H24*AO24</f>
        <v>0</v>
      </c>
      <c r="BI24" s="17">
        <f>H24*AP24</f>
        <v>0</v>
      </c>
      <c r="BJ24" s="17">
        <f>H24*I24</f>
        <v>0</v>
      </c>
      <c r="BK24" s="17" t="s">
        <v>674</v>
      </c>
      <c r="BL24" s="28">
        <v>31</v>
      </c>
    </row>
    <row r="25" spans="1:14" ht="12.75">
      <c r="A25" s="4"/>
      <c r="B25" s="13" t="s">
        <v>144</v>
      </c>
      <c r="C25" s="115" t="s">
        <v>306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4"/>
    </row>
    <row r="26" spans="1:47" ht="12.75">
      <c r="A26" s="69"/>
      <c r="B26" s="70" t="s">
        <v>40</v>
      </c>
      <c r="C26" s="108" t="s">
        <v>307</v>
      </c>
      <c r="D26" s="109"/>
      <c r="E26" s="109"/>
      <c r="F26" s="109"/>
      <c r="G26" s="71" t="s">
        <v>6</v>
      </c>
      <c r="H26" s="71" t="s">
        <v>6</v>
      </c>
      <c r="I26" s="94" t="s">
        <v>6</v>
      </c>
      <c r="J26" s="72">
        <f>SUM(J27:J27)</f>
        <v>0</v>
      </c>
      <c r="K26" s="72">
        <f>SUM(K27:K27)</f>
        <v>0</v>
      </c>
      <c r="L26" s="72">
        <f>SUM(L27:L27)</f>
        <v>0</v>
      </c>
      <c r="M26" s="73"/>
      <c r="N26" s="4"/>
      <c r="AI26" s="27"/>
      <c r="AS26" s="33">
        <f>SUM(AJ27:AJ27)</f>
        <v>0</v>
      </c>
      <c r="AT26" s="33">
        <f>SUM(AK27:AK27)</f>
        <v>0</v>
      </c>
      <c r="AU26" s="33">
        <f>SUM(AL27:AL27)</f>
        <v>0</v>
      </c>
    </row>
    <row r="27" spans="1:64" ht="12.75">
      <c r="A27" s="3" t="s">
        <v>11</v>
      </c>
      <c r="B27" s="11" t="s">
        <v>147</v>
      </c>
      <c r="C27" s="106" t="s">
        <v>308</v>
      </c>
      <c r="D27" s="107"/>
      <c r="E27" s="107"/>
      <c r="F27" s="107"/>
      <c r="G27" s="11" t="s">
        <v>594</v>
      </c>
      <c r="H27" s="17">
        <v>19.24</v>
      </c>
      <c r="I27" s="93">
        <v>0</v>
      </c>
      <c r="J27" s="17">
        <f>H27*AO27</f>
        <v>0</v>
      </c>
      <c r="K27" s="17">
        <f>H27*AP27</f>
        <v>0</v>
      </c>
      <c r="L27" s="17">
        <f>H27*I27</f>
        <v>0</v>
      </c>
      <c r="M27" s="24" t="s">
        <v>618</v>
      </c>
      <c r="N27" s="4"/>
      <c r="Z27" s="28">
        <f>IF(AQ27="5",BJ27,0)</f>
        <v>0</v>
      </c>
      <c r="AB27" s="28">
        <f>IF(AQ27="1",BH27,0)</f>
        <v>0</v>
      </c>
      <c r="AC27" s="28">
        <f>IF(AQ27="1",BI27,0)</f>
        <v>0</v>
      </c>
      <c r="AD27" s="28">
        <f>IF(AQ27="7",BH27,0)</f>
        <v>0</v>
      </c>
      <c r="AE27" s="28">
        <f>IF(AQ27="7",BI27,0)</f>
        <v>0</v>
      </c>
      <c r="AF27" s="28">
        <f>IF(AQ27="2",BH27,0)</f>
        <v>0</v>
      </c>
      <c r="AG27" s="28">
        <f>IF(AQ27="2",BI27,0)</f>
        <v>0</v>
      </c>
      <c r="AH27" s="28">
        <f>IF(AQ27="0",BJ27,0)</f>
        <v>0</v>
      </c>
      <c r="AI27" s="27"/>
      <c r="AJ27" s="17">
        <f>IF(AN27=0,L27,0)</f>
        <v>0</v>
      </c>
      <c r="AK27" s="17">
        <f>IF(AN27=15,L27,0)</f>
        <v>0</v>
      </c>
      <c r="AL27" s="17">
        <f>IF(AN27=21,L27,0)</f>
        <v>0</v>
      </c>
      <c r="AN27" s="28">
        <v>21</v>
      </c>
      <c r="AO27" s="28">
        <f>I27*0.641729651162791</f>
        <v>0</v>
      </c>
      <c r="AP27" s="28">
        <f>I27*(1-0.641729651162791)</f>
        <v>0</v>
      </c>
      <c r="AQ27" s="29" t="s">
        <v>7</v>
      </c>
      <c r="AV27" s="28">
        <f>AW27+AX27</f>
        <v>0</v>
      </c>
      <c r="AW27" s="28">
        <f>H27*AO27</f>
        <v>0</v>
      </c>
      <c r="AX27" s="28">
        <f>H27*AP27</f>
        <v>0</v>
      </c>
      <c r="AY27" s="31" t="s">
        <v>631</v>
      </c>
      <c r="AZ27" s="31" t="s">
        <v>659</v>
      </c>
      <c r="BA27" s="27" t="s">
        <v>669</v>
      </c>
      <c r="BC27" s="28">
        <f>AW27+AX27</f>
        <v>0</v>
      </c>
      <c r="BD27" s="28">
        <f>I27/(100-BE27)*100</f>
        <v>0</v>
      </c>
      <c r="BE27" s="28">
        <v>0</v>
      </c>
      <c r="BF27" s="28">
        <f>27</f>
        <v>27</v>
      </c>
      <c r="BH27" s="17">
        <f>H27*AO27</f>
        <v>0</v>
      </c>
      <c r="BI27" s="17">
        <f>H27*AP27</f>
        <v>0</v>
      </c>
      <c r="BJ27" s="17">
        <f>H27*I27</f>
        <v>0</v>
      </c>
      <c r="BK27" s="17" t="s">
        <v>674</v>
      </c>
      <c r="BL27" s="28">
        <v>34</v>
      </c>
    </row>
    <row r="28" spans="1:14" ht="12.75">
      <c r="A28" s="4"/>
      <c r="B28" s="13" t="s">
        <v>143</v>
      </c>
      <c r="C28" s="120" t="s">
        <v>309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2"/>
      <c r="N28" s="4"/>
    </row>
    <row r="29" spans="1:47" ht="12.75">
      <c r="A29" s="69"/>
      <c r="B29" s="70" t="s">
        <v>66</v>
      </c>
      <c r="C29" s="108" t="s">
        <v>310</v>
      </c>
      <c r="D29" s="109"/>
      <c r="E29" s="109"/>
      <c r="F29" s="109"/>
      <c r="G29" s="71" t="s">
        <v>6</v>
      </c>
      <c r="H29" s="71" t="s">
        <v>6</v>
      </c>
      <c r="I29" s="94" t="s">
        <v>6</v>
      </c>
      <c r="J29" s="72">
        <f>SUM(J30:J38)</f>
        <v>0</v>
      </c>
      <c r="K29" s="72">
        <f>SUM(K30:K38)</f>
        <v>0</v>
      </c>
      <c r="L29" s="72">
        <f>SUM(L30:L38)</f>
        <v>0</v>
      </c>
      <c r="M29" s="73"/>
      <c r="N29" s="4"/>
      <c r="AI29" s="27"/>
      <c r="AS29" s="33">
        <f>SUM(AJ30:AJ38)</f>
        <v>0</v>
      </c>
      <c r="AT29" s="33">
        <f>SUM(AK30:AK38)</f>
        <v>0</v>
      </c>
      <c r="AU29" s="33">
        <f>SUM(AL30:AL38)</f>
        <v>0</v>
      </c>
    </row>
    <row r="30" spans="1:64" ht="12.75">
      <c r="A30" s="3" t="s">
        <v>12</v>
      </c>
      <c r="B30" s="11" t="s">
        <v>148</v>
      </c>
      <c r="C30" s="106" t="s">
        <v>311</v>
      </c>
      <c r="D30" s="107"/>
      <c r="E30" s="107"/>
      <c r="F30" s="107"/>
      <c r="G30" s="11" t="s">
        <v>594</v>
      </c>
      <c r="H30" s="17">
        <v>60.6816</v>
      </c>
      <c r="I30" s="93">
        <v>0</v>
      </c>
      <c r="J30" s="17">
        <f>H30*AO30</f>
        <v>0</v>
      </c>
      <c r="K30" s="17">
        <f>H30*AP30</f>
        <v>0</v>
      </c>
      <c r="L30" s="17">
        <f>H30*I30</f>
        <v>0</v>
      </c>
      <c r="M30" s="24" t="s">
        <v>618</v>
      </c>
      <c r="N30" s="4"/>
      <c r="Z30" s="28">
        <f>IF(AQ30="5",BJ30,0)</f>
        <v>0</v>
      </c>
      <c r="AB30" s="28">
        <f>IF(AQ30="1",BH30,0)</f>
        <v>0</v>
      </c>
      <c r="AC30" s="28">
        <f>IF(AQ30="1",BI30,0)</f>
        <v>0</v>
      </c>
      <c r="AD30" s="28">
        <f>IF(AQ30="7",BH30,0)</f>
        <v>0</v>
      </c>
      <c r="AE30" s="28">
        <f>IF(AQ30="7",BI30,0)</f>
        <v>0</v>
      </c>
      <c r="AF30" s="28">
        <f>IF(AQ30="2",BH30,0)</f>
        <v>0</v>
      </c>
      <c r="AG30" s="28">
        <f>IF(AQ30="2",BI30,0)</f>
        <v>0</v>
      </c>
      <c r="AH30" s="28">
        <f>IF(AQ30="0",BJ30,0)</f>
        <v>0</v>
      </c>
      <c r="AI30" s="27"/>
      <c r="AJ30" s="17">
        <f>IF(AN30=0,L30,0)</f>
        <v>0</v>
      </c>
      <c r="AK30" s="17">
        <f>IF(AN30=15,L30,0)</f>
        <v>0</v>
      </c>
      <c r="AL30" s="17">
        <f>IF(AN30=21,L30,0)</f>
        <v>0</v>
      </c>
      <c r="AN30" s="28">
        <v>21</v>
      </c>
      <c r="AO30" s="28">
        <f>I30*0.553472247558122</f>
        <v>0</v>
      </c>
      <c r="AP30" s="28">
        <f>I30*(1-0.553472247558122)</f>
        <v>0</v>
      </c>
      <c r="AQ30" s="29" t="s">
        <v>7</v>
      </c>
      <c r="AV30" s="28">
        <f>AW30+AX30</f>
        <v>0</v>
      </c>
      <c r="AW30" s="28">
        <f>H30*AO30</f>
        <v>0</v>
      </c>
      <c r="AX30" s="28">
        <f>H30*AP30</f>
        <v>0</v>
      </c>
      <c r="AY30" s="31" t="s">
        <v>632</v>
      </c>
      <c r="AZ30" s="31" t="s">
        <v>660</v>
      </c>
      <c r="BA30" s="27" t="s">
        <v>669</v>
      </c>
      <c r="BC30" s="28">
        <f>AW30+AX30</f>
        <v>0</v>
      </c>
      <c r="BD30" s="28">
        <f>I30/(100-BE30)*100</f>
        <v>0</v>
      </c>
      <c r="BE30" s="28">
        <v>0</v>
      </c>
      <c r="BF30" s="28">
        <f>30</f>
        <v>30</v>
      </c>
      <c r="BH30" s="17">
        <f>H30*AO30</f>
        <v>0</v>
      </c>
      <c r="BI30" s="17">
        <f>H30*AP30</f>
        <v>0</v>
      </c>
      <c r="BJ30" s="17">
        <f>H30*I30</f>
        <v>0</v>
      </c>
      <c r="BK30" s="17" t="s">
        <v>674</v>
      </c>
      <c r="BL30" s="28">
        <v>60</v>
      </c>
    </row>
    <row r="31" spans="1:14" ht="25.5" customHeight="1">
      <c r="A31" s="4"/>
      <c r="B31" s="13" t="s">
        <v>144</v>
      </c>
      <c r="C31" s="115" t="s">
        <v>312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4"/>
    </row>
    <row r="32" spans="1:64" ht="12.75">
      <c r="A32" s="3" t="s">
        <v>13</v>
      </c>
      <c r="B32" s="11" t="s">
        <v>149</v>
      </c>
      <c r="C32" s="106" t="s">
        <v>313</v>
      </c>
      <c r="D32" s="107"/>
      <c r="E32" s="107"/>
      <c r="F32" s="107"/>
      <c r="G32" s="11" t="s">
        <v>594</v>
      </c>
      <c r="H32" s="17">
        <v>60.6816</v>
      </c>
      <c r="I32" s="93">
        <v>0</v>
      </c>
      <c r="J32" s="17">
        <f>H32*AO32</f>
        <v>0</v>
      </c>
      <c r="K32" s="17">
        <f>H32*AP32</f>
        <v>0</v>
      </c>
      <c r="L32" s="17">
        <f>H32*I32</f>
        <v>0</v>
      </c>
      <c r="M32" s="24" t="s">
        <v>618</v>
      </c>
      <c r="N32" s="4"/>
      <c r="Z32" s="28">
        <f>IF(AQ32="5",BJ32,0)</f>
        <v>0</v>
      </c>
      <c r="AB32" s="28">
        <f>IF(AQ32="1",BH32,0)</f>
        <v>0</v>
      </c>
      <c r="AC32" s="28">
        <f>IF(AQ32="1",BI32,0)</f>
        <v>0</v>
      </c>
      <c r="AD32" s="28">
        <f>IF(AQ32="7",BH32,0)</f>
        <v>0</v>
      </c>
      <c r="AE32" s="28">
        <f>IF(AQ32="7",BI32,0)</f>
        <v>0</v>
      </c>
      <c r="AF32" s="28">
        <f>IF(AQ32="2",BH32,0)</f>
        <v>0</v>
      </c>
      <c r="AG32" s="28">
        <f>IF(AQ32="2",BI32,0)</f>
        <v>0</v>
      </c>
      <c r="AH32" s="28">
        <f>IF(AQ32="0",BJ32,0)</f>
        <v>0</v>
      </c>
      <c r="AI32" s="27"/>
      <c r="AJ32" s="17">
        <f>IF(AN32=0,L32,0)</f>
        <v>0</v>
      </c>
      <c r="AK32" s="17">
        <f>IF(AN32=15,L32,0)</f>
        <v>0</v>
      </c>
      <c r="AL32" s="17">
        <f>IF(AN32=21,L32,0)</f>
        <v>0</v>
      </c>
      <c r="AN32" s="28">
        <v>21</v>
      </c>
      <c r="AO32" s="28">
        <f>I32*0.376894422593535</f>
        <v>0</v>
      </c>
      <c r="AP32" s="28">
        <f>I32*(1-0.376894422593535)</f>
        <v>0</v>
      </c>
      <c r="AQ32" s="29" t="s">
        <v>7</v>
      </c>
      <c r="AV32" s="28">
        <f>AW32+AX32</f>
        <v>0</v>
      </c>
      <c r="AW32" s="28">
        <f>H32*AO32</f>
        <v>0</v>
      </c>
      <c r="AX32" s="28">
        <f>H32*AP32</f>
        <v>0</v>
      </c>
      <c r="AY32" s="31" t="s">
        <v>632</v>
      </c>
      <c r="AZ32" s="31" t="s">
        <v>660</v>
      </c>
      <c r="BA32" s="27" t="s">
        <v>669</v>
      </c>
      <c r="BC32" s="28">
        <f>AW32+AX32</f>
        <v>0</v>
      </c>
      <c r="BD32" s="28">
        <f>I32/(100-BE32)*100</f>
        <v>0</v>
      </c>
      <c r="BE32" s="28">
        <v>0</v>
      </c>
      <c r="BF32" s="28">
        <f>32</f>
        <v>32</v>
      </c>
      <c r="BH32" s="17">
        <f>H32*AO32</f>
        <v>0</v>
      </c>
      <c r="BI32" s="17">
        <f>H32*AP32</f>
        <v>0</v>
      </c>
      <c r="BJ32" s="17">
        <f>H32*I32</f>
        <v>0</v>
      </c>
      <c r="BK32" s="17" t="s">
        <v>674</v>
      </c>
      <c r="BL32" s="28">
        <v>60</v>
      </c>
    </row>
    <row r="33" spans="1:14" ht="12.75">
      <c r="A33" s="4"/>
      <c r="B33" s="13" t="s">
        <v>143</v>
      </c>
      <c r="C33" s="120" t="s">
        <v>314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4"/>
    </row>
    <row r="34" spans="1:14" ht="25.5" customHeight="1">
      <c r="A34" s="4"/>
      <c r="B34" s="13" t="s">
        <v>144</v>
      </c>
      <c r="C34" s="115" t="s">
        <v>315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4"/>
    </row>
    <row r="35" spans="1:64" ht="12.75">
      <c r="A35" s="3" t="s">
        <v>14</v>
      </c>
      <c r="B35" s="11" t="s">
        <v>150</v>
      </c>
      <c r="C35" s="106" t="s">
        <v>316</v>
      </c>
      <c r="D35" s="107"/>
      <c r="E35" s="107"/>
      <c r="F35" s="107"/>
      <c r="G35" s="11" t="s">
        <v>594</v>
      </c>
      <c r="H35" s="17">
        <v>28.95626</v>
      </c>
      <c r="I35" s="93">
        <v>0</v>
      </c>
      <c r="J35" s="17">
        <f>H35*AO35</f>
        <v>0</v>
      </c>
      <c r="K35" s="17">
        <f>H35*AP35</f>
        <v>0</v>
      </c>
      <c r="L35" s="17">
        <f>H35*I35</f>
        <v>0</v>
      </c>
      <c r="M35" s="24" t="s">
        <v>618</v>
      </c>
      <c r="N35" s="4"/>
      <c r="Z35" s="28">
        <f>IF(AQ35="5",BJ35,0)</f>
        <v>0</v>
      </c>
      <c r="AB35" s="28">
        <f>IF(AQ35="1",BH35,0)</f>
        <v>0</v>
      </c>
      <c r="AC35" s="28">
        <f>IF(AQ35="1",BI35,0)</f>
        <v>0</v>
      </c>
      <c r="AD35" s="28">
        <f>IF(AQ35="7",BH35,0)</f>
        <v>0</v>
      </c>
      <c r="AE35" s="28">
        <f>IF(AQ35="7",BI35,0)</f>
        <v>0</v>
      </c>
      <c r="AF35" s="28">
        <f>IF(AQ35="2",BH35,0)</f>
        <v>0</v>
      </c>
      <c r="AG35" s="28">
        <f>IF(AQ35="2",BI35,0)</f>
        <v>0</v>
      </c>
      <c r="AH35" s="28">
        <f>IF(AQ35="0",BJ35,0)</f>
        <v>0</v>
      </c>
      <c r="AI35" s="27"/>
      <c r="AJ35" s="17">
        <f>IF(AN35=0,L35,0)</f>
        <v>0</v>
      </c>
      <c r="AK35" s="17">
        <f>IF(AN35=15,L35,0)</f>
        <v>0</v>
      </c>
      <c r="AL35" s="17">
        <f>IF(AN35=21,L35,0)</f>
        <v>0</v>
      </c>
      <c r="AN35" s="28">
        <v>21</v>
      </c>
      <c r="AO35" s="28">
        <f>I35*0.159584563518496</f>
        <v>0</v>
      </c>
      <c r="AP35" s="28">
        <f>I35*(1-0.159584563518496)</f>
        <v>0</v>
      </c>
      <c r="AQ35" s="29" t="s">
        <v>7</v>
      </c>
      <c r="AV35" s="28">
        <f>AW35+AX35</f>
        <v>0</v>
      </c>
      <c r="AW35" s="28">
        <f>H35*AO35</f>
        <v>0</v>
      </c>
      <c r="AX35" s="28">
        <f>H35*AP35</f>
        <v>0</v>
      </c>
      <c r="AY35" s="31" t="s">
        <v>632</v>
      </c>
      <c r="AZ35" s="31" t="s">
        <v>660</v>
      </c>
      <c r="BA35" s="27" t="s">
        <v>669</v>
      </c>
      <c r="BC35" s="28">
        <f>AW35+AX35</f>
        <v>0</v>
      </c>
      <c r="BD35" s="28">
        <f>I35/(100-BE35)*100</f>
        <v>0</v>
      </c>
      <c r="BE35" s="28">
        <v>0</v>
      </c>
      <c r="BF35" s="28">
        <f>35</f>
        <v>35</v>
      </c>
      <c r="BH35" s="17">
        <f>H35*AO35</f>
        <v>0</v>
      </c>
      <c r="BI35" s="17">
        <f>H35*AP35</f>
        <v>0</v>
      </c>
      <c r="BJ35" s="17">
        <f>H35*I35</f>
        <v>0</v>
      </c>
      <c r="BK35" s="17" t="s">
        <v>674</v>
      </c>
      <c r="BL35" s="28">
        <v>60</v>
      </c>
    </row>
    <row r="36" spans="1:14" ht="12.75">
      <c r="A36" s="4"/>
      <c r="B36" s="13" t="s">
        <v>143</v>
      </c>
      <c r="C36" s="120" t="s">
        <v>317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4"/>
    </row>
    <row r="37" spans="1:14" ht="25.5" customHeight="1">
      <c r="A37" s="4"/>
      <c r="B37" s="13" t="s">
        <v>144</v>
      </c>
      <c r="C37" s="115" t="s">
        <v>318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4"/>
    </row>
    <row r="38" spans="1:64" ht="12.75">
      <c r="A38" s="3" t="s">
        <v>15</v>
      </c>
      <c r="B38" s="11" t="s">
        <v>151</v>
      </c>
      <c r="C38" s="106" t="s">
        <v>319</v>
      </c>
      <c r="D38" s="107"/>
      <c r="E38" s="107"/>
      <c r="F38" s="107"/>
      <c r="G38" s="11" t="s">
        <v>594</v>
      </c>
      <c r="H38" s="17">
        <v>97.29985</v>
      </c>
      <c r="I38" s="93">
        <v>0</v>
      </c>
      <c r="J38" s="17">
        <f>H38*AO38</f>
        <v>0</v>
      </c>
      <c r="K38" s="17">
        <f>H38*AP38</f>
        <v>0</v>
      </c>
      <c r="L38" s="17">
        <f>H38*I38</f>
        <v>0</v>
      </c>
      <c r="M38" s="24" t="s">
        <v>618</v>
      </c>
      <c r="N38" s="4"/>
      <c r="Z38" s="28">
        <f>IF(AQ38="5",BJ38,0)</f>
        <v>0</v>
      </c>
      <c r="AB38" s="28">
        <f>IF(AQ38="1",BH38,0)</f>
        <v>0</v>
      </c>
      <c r="AC38" s="28">
        <f>IF(AQ38="1",BI38,0)</f>
        <v>0</v>
      </c>
      <c r="AD38" s="28">
        <f>IF(AQ38="7",BH38,0)</f>
        <v>0</v>
      </c>
      <c r="AE38" s="28">
        <f>IF(AQ38="7",BI38,0)</f>
        <v>0</v>
      </c>
      <c r="AF38" s="28">
        <f>IF(AQ38="2",BH38,0)</f>
        <v>0</v>
      </c>
      <c r="AG38" s="28">
        <f>IF(AQ38="2",BI38,0)</f>
        <v>0</v>
      </c>
      <c r="AH38" s="28">
        <f>IF(AQ38="0",BJ38,0)</f>
        <v>0</v>
      </c>
      <c r="AI38" s="27"/>
      <c r="AJ38" s="17">
        <f>IF(AN38=0,L38,0)</f>
        <v>0</v>
      </c>
      <c r="AK38" s="17">
        <f>IF(AN38=15,L38,0)</f>
        <v>0</v>
      </c>
      <c r="AL38" s="17">
        <f>IF(AN38=21,L38,0)</f>
        <v>0</v>
      </c>
      <c r="AN38" s="28">
        <v>21</v>
      </c>
      <c r="AO38" s="28">
        <f>I38*0.125039379691642</f>
        <v>0</v>
      </c>
      <c r="AP38" s="28">
        <f>I38*(1-0.125039379691642)</f>
        <v>0</v>
      </c>
      <c r="AQ38" s="29" t="s">
        <v>7</v>
      </c>
      <c r="AV38" s="28">
        <f>AW38+AX38</f>
        <v>0</v>
      </c>
      <c r="AW38" s="28">
        <f>H38*AO38</f>
        <v>0</v>
      </c>
      <c r="AX38" s="28">
        <f>H38*AP38</f>
        <v>0</v>
      </c>
      <c r="AY38" s="31" t="s">
        <v>632</v>
      </c>
      <c r="AZ38" s="31" t="s">
        <v>660</v>
      </c>
      <c r="BA38" s="27" t="s">
        <v>669</v>
      </c>
      <c r="BC38" s="28">
        <f>AW38+AX38</f>
        <v>0</v>
      </c>
      <c r="BD38" s="28">
        <f>I38/(100-BE38)*100</f>
        <v>0</v>
      </c>
      <c r="BE38" s="28">
        <v>0</v>
      </c>
      <c r="BF38" s="28">
        <f>38</f>
        <v>38</v>
      </c>
      <c r="BH38" s="17">
        <f>H38*AO38</f>
        <v>0</v>
      </c>
      <c r="BI38" s="17">
        <f>H38*AP38</f>
        <v>0</v>
      </c>
      <c r="BJ38" s="17">
        <f>H38*I38</f>
        <v>0</v>
      </c>
      <c r="BK38" s="17" t="s">
        <v>674</v>
      </c>
      <c r="BL38" s="28">
        <v>60</v>
      </c>
    </row>
    <row r="39" spans="1:14" ht="12.75">
      <c r="A39" s="4"/>
      <c r="B39" s="13" t="s">
        <v>143</v>
      </c>
      <c r="C39" s="120" t="s">
        <v>317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2"/>
      <c r="N39" s="4"/>
    </row>
    <row r="40" spans="1:14" ht="25.5" customHeight="1">
      <c r="A40" s="4"/>
      <c r="B40" s="13" t="s">
        <v>144</v>
      </c>
      <c r="C40" s="115" t="s">
        <v>320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4"/>
    </row>
    <row r="41" spans="1:47" ht="12.75">
      <c r="A41" s="69"/>
      <c r="B41" s="70" t="s">
        <v>67</v>
      </c>
      <c r="C41" s="108" t="s">
        <v>321</v>
      </c>
      <c r="D41" s="109"/>
      <c r="E41" s="109"/>
      <c r="F41" s="109"/>
      <c r="G41" s="71" t="s">
        <v>6</v>
      </c>
      <c r="H41" s="71" t="s">
        <v>6</v>
      </c>
      <c r="I41" s="94" t="s">
        <v>6</v>
      </c>
      <c r="J41" s="72">
        <f>SUM(J42:J45)</f>
        <v>0</v>
      </c>
      <c r="K41" s="72">
        <f>SUM(K42:K45)</f>
        <v>0</v>
      </c>
      <c r="L41" s="72">
        <f>SUM(L42:L45)</f>
        <v>0</v>
      </c>
      <c r="M41" s="73"/>
      <c r="N41" s="4"/>
      <c r="AI41" s="27"/>
      <c r="AS41" s="33">
        <f>SUM(AJ42:AJ45)</f>
        <v>0</v>
      </c>
      <c r="AT41" s="33">
        <f>SUM(AK42:AK45)</f>
        <v>0</v>
      </c>
      <c r="AU41" s="33">
        <f>SUM(AL42:AL45)</f>
        <v>0</v>
      </c>
    </row>
    <row r="42" spans="1:64" ht="12.75">
      <c r="A42" s="3" t="s">
        <v>16</v>
      </c>
      <c r="B42" s="11" t="s">
        <v>152</v>
      </c>
      <c r="C42" s="106" t="s">
        <v>322</v>
      </c>
      <c r="D42" s="107"/>
      <c r="E42" s="107"/>
      <c r="F42" s="107"/>
      <c r="G42" s="11" t="s">
        <v>594</v>
      </c>
      <c r="H42" s="17">
        <v>126.25611</v>
      </c>
      <c r="I42" s="93">
        <v>0</v>
      </c>
      <c r="J42" s="17">
        <f>H42*AO42</f>
        <v>0</v>
      </c>
      <c r="K42" s="17">
        <f>H42*AP42</f>
        <v>0</v>
      </c>
      <c r="L42" s="17">
        <f>H42*I42</f>
        <v>0</v>
      </c>
      <c r="M42" s="24" t="s">
        <v>618</v>
      </c>
      <c r="N42" s="4"/>
      <c r="Z42" s="28">
        <f>IF(AQ42="5",BJ42,0)</f>
        <v>0</v>
      </c>
      <c r="AB42" s="28">
        <f>IF(AQ42="1",BH42,0)</f>
        <v>0</v>
      </c>
      <c r="AC42" s="28">
        <f>IF(AQ42="1",BI42,0)</f>
        <v>0</v>
      </c>
      <c r="AD42" s="28">
        <f>IF(AQ42="7",BH42,0)</f>
        <v>0</v>
      </c>
      <c r="AE42" s="28">
        <f>IF(AQ42="7",BI42,0)</f>
        <v>0</v>
      </c>
      <c r="AF42" s="28">
        <f>IF(AQ42="2",BH42,0)</f>
        <v>0</v>
      </c>
      <c r="AG42" s="28">
        <f>IF(AQ42="2",BI42,0)</f>
        <v>0</v>
      </c>
      <c r="AH42" s="28">
        <f>IF(AQ42="0",BJ42,0)</f>
        <v>0</v>
      </c>
      <c r="AI42" s="27"/>
      <c r="AJ42" s="17">
        <f>IF(AN42=0,L42,0)</f>
        <v>0</v>
      </c>
      <c r="AK42" s="17">
        <f>IF(AN42=15,L42,0)</f>
        <v>0</v>
      </c>
      <c r="AL42" s="17">
        <f>IF(AN42=21,L42,0)</f>
        <v>0</v>
      </c>
      <c r="AN42" s="28">
        <v>21</v>
      </c>
      <c r="AO42" s="28">
        <f>I42*0.265865537603707</f>
        <v>0</v>
      </c>
      <c r="AP42" s="28">
        <f>I42*(1-0.265865537603707)</f>
        <v>0</v>
      </c>
      <c r="AQ42" s="29" t="s">
        <v>7</v>
      </c>
      <c r="AV42" s="28">
        <f>AW42+AX42</f>
        <v>0</v>
      </c>
      <c r="AW42" s="28">
        <f>H42*AO42</f>
        <v>0</v>
      </c>
      <c r="AX42" s="28">
        <f>H42*AP42</f>
        <v>0</v>
      </c>
      <c r="AY42" s="31" t="s">
        <v>633</v>
      </c>
      <c r="AZ42" s="31" t="s">
        <v>660</v>
      </c>
      <c r="BA42" s="27" t="s">
        <v>669</v>
      </c>
      <c r="BC42" s="28">
        <f>AW42+AX42</f>
        <v>0</v>
      </c>
      <c r="BD42" s="28">
        <f>I42/(100-BE42)*100</f>
        <v>0</v>
      </c>
      <c r="BE42" s="28">
        <v>0</v>
      </c>
      <c r="BF42" s="28">
        <f>42</f>
        <v>42</v>
      </c>
      <c r="BH42" s="17">
        <f>H42*AO42</f>
        <v>0</v>
      </c>
      <c r="BI42" s="17">
        <f>H42*AP42</f>
        <v>0</v>
      </c>
      <c r="BJ42" s="17">
        <f>H42*I42</f>
        <v>0</v>
      </c>
      <c r="BK42" s="17" t="s">
        <v>674</v>
      </c>
      <c r="BL42" s="28">
        <v>61</v>
      </c>
    </row>
    <row r="43" spans="1:14" ht="12.75">
      <c r="A43" s="4"/>
      <c r="B43" s="13" t="s">
        <v>143</v>
      </c>
      <c r="C43" s="120" t="s">
        <v>323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4"/>
    </row>
    <row r="44" spans="1:14" ht="12.75">
      <c r="A44" s="4"/>
      <c r="B44" s="13" t="s">
        <v>144</v>
      </c>
      <c r="C44" s="115" t="s">
        <v>324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4"/>
    </row>
    <row r="45" spans="1:64" ht="12.75">
      <c r="A45" s="3" t="s">
        <v>17</v>
      </c>
      <c r="B45" s="11" t="s">
        <v>153</v>
      </c>
      <c r="C45" s="106" t="s">
        <v>325</v>
      </c>
      <c r="D45" s="107"/>
      <c r="E45" s="107"/>
      <c r="F45" s="107"/>
      <c r="G45" s="11" t="s">
        <v>594</v>
      </c>
      <c r="H45" s="17">
        <v>13.771</v>
      </c>
      <c r="I45" s="93">
        <v>0</v>
      </c>
      <c r="J45" s="17">
        <f>H45*AO45</f>
        <v>0</v>
      </c>
      <c r="K45" s="17">
        <f>H45*AP45</f>
        <v>0</v>
      </c>
      <c r="L45" s="17">
        <f>H45*I45</f>
        <v>0</v>
      </c>
      <c r="M45" s="24" t="s">
        <v>618</v>
      </c>
      <c r="N45" s="4"/>
      <c r="Z45" s="28">
        <f>IF(AQ45="5",BJ45,0)</f>
        <v>0</v>
      </c>
      <c r="AB45" s="28">
        <f>IF(AQ45="1",BH45,0)</f>
        <v>0</v>
      </c>
      <c r="AC45" s="28">
        <f>IF(AQ45="1",BI45,0)</f>
        <v>0</v>
      </c>
      <c r="AD45" s="28">
        <f>IF(AQ45="7",BH45,0)</f>
        <v>0</v>
      </c>
      <c r="AE45" s="28">
        <f>IF(AQ45="7",BI45,0)</f>
        <v>0</v>
      </c>
      <c r="AF45" s="28">
        <f>IF(AQ45="2",BH45,0)</f>
        <v>0</v>
      </c>
      <c r="AG45" s="28">
        <f>IF(AQ45="2",BI45,0)</f>
        <v>0</v>
      </c>
      <c r="AH45" s="28">
        <f>IF(AQ45="0",BJ45,0)</f>
        <v>0</v>
      </c>
      <c r="AI45" s="27"/>
      <c r="AJ45" s="17">
        <f>IF(AN45=0,L45,0)</f>
        <v>0</v>
      </c>
      <c r="AK45" s="17">
        <f>IF(AN45=15,L45,0)</f>
        <v>0</v>
      </c>
      <c r="AL45" s="17">
        <f>IF(AN45=21,L45,0)</f>
        <v>0</v>
      </c>
      <c r="AN45" s="28">
        <v>21</v>
      </c>
      <c r="AO45" s="28">
        <f>I45*0.29154984465019</f>
        <v>0</v>
      </c>
      <c r="AP45" s="28">
        <f>I45*(1-0.29154984465019)</f>
        <v>0</v>
      </c>
      <c r="AQ45" s="29" t="s">
        <v>7</v>
      </c>
      <c r="AV45" s="28">
        <f>AW45+AX45</f>
        <v>0</v>
      </c>
      <c r="AW45" s="28">
        <f>H45*AO45</f>
        <v>0</v>
      </c>
      <c r="AX45" s="28">
        <f>H45*AP45</f>
        <v>0</v>
      </c>
      <c r="AY45" s="31" t="s">
        <v>633</v>
      </c>
      <c r="AZ45" s="31" t="s">
        <v>660</v>
      </c>
      <c r="BA45" s="27" t="s">
        <v>669</v>
      </c>
      <c r="BC45" s="28">
        <f>AW45+AX45</f>
        <v>0</v>
      </c>
      <c r="BD45" s="28">
        <f>I45/(100-BE45)*100</f>
        <v>0</v>
      </c>
      <c r="BE45" s="28">
        <v>0</v>
      </c>
      <c r="BF45" s="28">
        <f>45</f>
        <v>45</v>
      </c>
      <c r="BH45" s="17">
        <f>H45*AO45</f>
        <v>0</v>
      </c>
      <c r="BI45" s="17">
        <f>H45*AP45</f>
        <v>0</v>
      </c>
      <c r="BJ45" s="17">
        <f>H45*I45</f>
        <v>0</v>
      </c>
      <c r="BK45" s="17" t="s">
        <v>674</v>
      </c>
      <c r="BL45" s="28">
        <v>61</v>
      </c>
    </row>
    <row r="46" spans="1:14" s="86" customFormat="1" ht="12">
      <c r="A46" s="84"/>
      <c r="B46" s="85" t="s">
        <v>139</v>
      </c>
      <c r="C46" s="103" t="s">
        <v>326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5"/>
      <c r="N46" s="84"/>
    </row>
    <row r="47" spans="1:47" ht="12.75">
      <c r="A47" s="69"/>
      <c r="B47" s="70" t="s">
        <v>69</v>
      </c>
      <c r="C47" s="108" t="s">
        <v>327</v>
      </c>
      <c r="D47" s="109"/>
      <c r="E47" s="109"/>
      <c r="F47" s="109"/>
      <c r="G47" s="71" t="s">
        <v>6</v>
      </c>
      <c r="H47" s="71" t="s">
        <v>6</v>
      </c>
      <c r="I47" s="94" t="s">
        <v>6</v>
      </c>
      <c r="J47" s="72">
        <f>SUM(J48:J53)</f>
        <v>0</v>
      </c>
      <c r="K47" s="72">
        <f>SUM(K48:K53)</f>
        <v>0</v>
      </c>
      <c r="L47" s="72">
        <f>SUM(L48:L53)</f>
        <v>0</v>
      </c>
      <c r="M47" s="73"/>
      <c r="N47" s="4"/>
      <c r="AI47" s="27"/>
      <c r="AS47" s="33">
        <f>SUM(AJ48:AJ53)</f>
        <v>0</v>
      </c>
      <c r="AT47" s="33">
        <f>SUM(AK48:AK53)</f>
        <v>0</v>
      </c>
      <c r="AU47" s="33">
        <f>SUM(AL48:AL53)</f>
        <v>0</v>
      </c>
    </row>
    <row r="48" spans="1:64" ht="12.75">
      <c r="A48" s="3" t="s">
        <v>18</v>
      </c>
      <c r="B48" s="11" t="s">
        <v>154</v>
      </c>
      <c r="C48" s="106" t="s">
        <v>328</v>
      </c>
      <c r="D48" s="107"/>
      <c r="E48" s="107"/>
      <c r="F48" s="107"/>
      <c r="G48" s="11" t="s">
        <v>594</v>
      </c>
      <c r="H48" s="17">
        <v>27.3676</v>
      </c>
      <c r="I48" s="93">
        <v>0</v>
      </c>
      <c r="J48" s="17">
        <f>H48*AO48</f>
        <v>0</v>
      </c>
      <c r="K48" s="17">
        <f>H48*AP48</f>
        <v>0</v>
      </c>
      <c r="L48" s="17">
        <f>H48*I48</f>
        <v>0</v>
      </c>
      <c r="M48" s="24" t="s">
        <v>618</v>
      </c>
      <c r="N48" s="4"/>
      <c r="Z48" s="28">
        <f>IF(AQ48="5",BJ48,0)</f>
        <v>0</v>
      </c>
      <c r="AB48" s="28">
        <f>IF(AQ48="1",BH48,0)</f>
        <v>0</v>
      </c>
      <c r="AC48" s="28">
        <f>IF(AQ48="1",BI48,0)</f>
        <v>0</v>
      </c>
      <c r="AD48" s="28">
        <f>IF(AQ48="7",BH48,0)</f>
        <v>0</v>
      </c>
      <c r="AE48" s="28">
        <f>IF(AQ48="7",BI48,0)</f>
        <v>0</v>
      </c>
      <c r="AF48" s="28">
        <f>IF(AQ48="2",BH48,0)</f>
        <v>0</v>
      </c>
      <c r="AG48" s="28">
        <f>IF(AQ48="2",BI48,0)</f>
        <v>0</v>
      </c>
      <c r="AH48" s="28">
        <f>IF(AQ48="0",BJ48,0)</f>
        <v>0</v>
      </c>
      <c r="AI48" s="27"/>
      <c r="AJ48" s="17">
        <f>IF(AN48=0,L48,0)</f>
        <v>0</v>
      </c>
      <c r="AK48" s="17">
        <f>IF(AN48=15,L48,0)</f>
        <v>0</v>
      </c>
      <c r="AL48" s="17">
        <f>IF(AN48=21,L48,0)</f>
        <v>0</v>
      </c>
      <c r="AN48" s="28">
        <v>21</v>
      </c>
      <c r="AO48" s="28">
        <f>I48*0.517299823071597</f>
        <v>0</v>
      </c>
      <c r="AP48" s="28">
        <f>I48*(1-0.517299823071597)</f>
        <v>0</v>
      </c>
      <c r="AQ48" s="29" t="s">
        <v>7</v>
      </c>
      <c r="AV48" s="28">
        <f>AW48+AX48</f>
        <v>0</v>
      </c>
      <c r="AW48" s="28">
        <f>H48*AO48</f>
        <v>0</v>
      </c>
      <c r="AX48" s="28">
        <f>H48*AP48</f>
        <v>0</v>
      </c>
      <c r="AY48" s="31" t="s">
        <v>634</v>
      </c>
      <c r="AZ48" s="31" t="s">
        <v>660</v>
      </c>
      <c r="BA48" s="27" t="s">
        <v>669</v>
      </c>
      <c r="BC48" s="28">
        <f>AW48+AX48</f>
        <v>0</v>
      </c>
      <c r="BD48" s="28">
        <f>I48/(100-BE48)*100</f>
        <v>0</v>
      </c>
      <c r="BE48" s="28">
        <v>0</v>
      </c>
      <c r="BF48" s="28">
        <f>48</f>
        <v>48</v>
      </c>
      <c r="BH48" s="17">
        <f>H48*AO48</f>
        <v>0</v>
      </c>
      <c r="BI48" s="17">
        <f>H48*AP48</f>
        <v>0</v>
      </c>
      <c r="BJ48" s="17">
        <f>H48*I48</f>
        <v>0</v>
      </c>
      <c r="BK48" s="17" t="s">
        <v>674</v>
      </c>
      <c r="BL48" s="28">
        <v>63</v>
      </c>
    </row>
    <row r="49" spans="1:14" s="86" customFormat="1" ht="12">
      <c r="A49" s="84"/>
      <c r="B49" s="85" t="s">
        <v>139</v>
      </c>
      <c r="C49" s="103" t="s">
        <v>329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5"/>
      <c r="N49" s="84"/>
    </row>
    <row r="50" spans="1:64" ht="12.75">
      <c r="A50" s="3" t="s">
        <v>19</v>
      </c>
      <c r="B50" s="11" t="s">
        <v>155</v>
      </c>
      <c r="C50" s="106" t="s">
        <v>330</v>
      </c>
      <c r="D50" s="107"/>
      <c r="E50" s="107"/>
      <c r="F50" s="107"/>
      <c r="G50" s="11" t="s">
        <v>595</v>
      </c>
      <c r="H50" s="17">
        <v>0.03694</v>
      </c>
      <c r="I50" s="93">
        <v>0</v>
      </c>
      <c r="J50" s="17">
        <f>H50*AO50</f>
        <v>0</v>
      </c>
      <c r="K50" s="17">
        <f>H50*AP50</f>
        <v>0</v>
      </c>
      <c r="L50" s="17">
        <f>H50*I50</f>
        <v>0</v>
      </c>
      <c r="M50" s="24" t="s">
        <v>618</v>
      </c>
      <c r="N50" s="4"/>
      <c r="Z50" s="28">
        <f>IF(AQ50="5",BJ50,0)</f>
        <v>0</v>
      </c>
      <c r="AB50" s="28">
        <f>IF(AQ50="1",BH50,0)</f>
        <v>0</v>
      </c>
      <c r="AC50" s="28">
        <f>IF(AQ50="1",BI50,0)</f>
        <v>0</v>
      </c>
      <c r="AD50" s="28">
        <f>IF(AQ50="7",BH50,0)</f>
        <v>0</v>
      </c>
      <c r="AE50" s="28">
        <f>IF(AQ50="7",BI50,0)</f>
        <v>0</v>
      </c>
      <c r="AF50" s="28">
        <f>IF(AQ50="2",BH50,0)</f>
        <v>0</v>
      </c>
      <c r="AG50" s="28">
        <f>IF(AQ50="2",BI50,0)</f>
        <v>0</v>
      </c>
      <c r="AH50" s="28">
        <f>IF(AQ50="0",BJ50,0)</f>
        <v>0</v>
      </c>
      <c r="AI50" s="27"/>
      <c r="AJ50" s="17">
        <f>IF(AN50=0,L50,0)</f>
        <v>0</v>
      </c>
      <c r="AK50" s="17">
        <f>IF(AN50=15,L50,0)</f>
        <v>0</v>
      </c>
      <c r="AL50" s="17">
        <f>IF(AN50=21,L50,0)</f>
        <v>0</v>
      </c>
      <c r="AN50" s="28">
        <v>21</v>
      </c>
      <c r="AO50" s="28">
        <f>I50*0.784073233174464</f>
        <v>0</v>
      </c>
      <c r="AP50" s="28">
        <f>I50*(1-0.784073233174464)</f>
        <v>0</v>
      </c>
      <c r="AQ50" s="29" t="s">
        <v>7</v>
      </c>
      <c r="AV50" s="28">
        <f>AW50+AX50</f>
        <v>0</v>
      </c>
      <c r="AW50" s="28">
        <f>H50*AO50</f>
        <v>0</v>
      </c>
      <c r="AX50" s="28">
        <f>H50*AP50</f>
        <v>0</v>
      </c>
      <c r="AY50" s="31" t="s">
        <v>634</v>
      </c>
      <c r="AZ50" s="31" t="s">
        <v>660</v>
      </c>
      <c r="BA50" s="27" t="s">
        <v>669</v>
      </c>
      <c r="BC50" s="28">
        <f>AW50+AX50</f>
        <v>0</v>
      </c>
      <c r="BD50" s="28">
        <f>I50/(100-BE50)*100</f>
        <v>0</v>
      </c>
      <c r="BE50" s="28">
        <v>0</v>
      </c>
      <c r="BF50" s="28">
        <f>50</f>
        <v>50</v>
      </c>
      <c r="BH50" s="17">
        <f>H50*AO50</f>
        <v>0</v>
      </c>
      <c r="BI50" s="17">
        <f>H50*AP50</f>
        <v>0</v>
      </c>
      <c r="BJ50" s="17">
        <f>H50*I50</f>
        <v>0</v>
      </c>
      <c r="BK50" s="17" t="s">
        <v>674</v>
      </c>
      <c r="BL50" s="28">
        <v>63</v>
      </c>
    </row>
    <row r="51" spans="1:14" ht="12.75">
      <c r="A51" s="4"/>
      <c r="B51" s="13" t="s">
        <v>143</v>
      </c>
      <c r="C51" s="120" t="s">
        <v>331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N51" s="4"/>
    </row>
    <row r="52" spans="1:14" ht="12.75">
      <c r="A52" s="4"/>
      <c r="B52" s="13" t="s">
        <v>144</v>
      </c>
      <c r="C52" s="115" t="s">
        <v>332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4"/>
    </row>
    <row r="53" spans="1:64" ht="12.75">
      <c r="A53" s="3" t="s">
        <v>20</v>
      </c>
      <c r="B53" s="11" t="s">
        <v>156</v>
      </c>
      <c r="C53" s="106" t="s">
        <v>333</v>
      </c>
      <c r="D53" s="107"/>
      <c r="E53" s="107"/>
      <c r="F53" s="107"/>
      <c r="G53" s="11" t="s">
        <v>596</v>
      </c>
      <c r="H53" s="17">
        <v>3.2832</v>
      </c>
      <c r="I53" s="93">
        <v>0</v>
      </c>
      <c r="J53" s="17">
        <f>H53*AO53</f>
        <v>0</v>
      </c>
      <c r="K53" s="17">
        <f>H53*AP53</f>
        <v>0</v>
      </c>
      <c r="L53" s="17">
        <f>H53*I53</f>
        <v>0</v>
      </c>
      <c r="M53" s="24" t="s">
        <v>618</v>
      </c>
      <c r="N53" s="4"/>
      <c r="Z53" s="28">
        <f>IF(AQ53="5",BJ53,0)</f>
        <v>0</v>
      </c>
      <c r="AB53" s="28">
        <f>IF(AQ53="1",BH53,0)</f>
        <v>0</v>
      </c>
      <c r="AC53" s="28">
        <f>IF(AQ53="1",BI53,0)</f>
        <v>0</v>
      </c>
      <c r="AD53" s="28">
        <f>IF(AQ53="7",BH53,0)</f>
        <v>0</v>
      </c>
      <c r="AE53" s="28">
        <f>IF(AQ53="7",BI53,0)</f>
        <v>0</v>
      </c>
      <c r="AF53" s="28">
        <f>IF(AQ53="2",BH53,0)</f>
        <v>0</v>
      </c>
      <c r="AG53" s="28">
        <f>IF(AQ53="2",BI53,0)</f>
        <v>0</v>
      </c>
      <c r="AH53" s="28">
        <f>IF(AQ53="0",BJ53,0)</f>
        <v>0</v>
      </c>
      <c r="AI53" s="27"/>
      <c r="AJ53" s="17">
        <f>IF(AN53=0,L53,0)</f>
        <v>0</v>
      </c>
      <c r="AK53" s="17">
        <f>IF(AN53=15,L53,0)</f>
        <v>0</v>
      </c>
      <c r="AL53" s="17">
        <f>IF(AN53=21,L53,0)</f>
        <v>0</v>
      </c>
      <c r="AN53" s="28">
        <v>21</v>
      </c>
      <c r="AO53" s="28">
        <f>I53*0.705288502047291</f>
        <v>0</v>
      </c>
      <c r="AP53" s="28">
        <f>I53*(1-0.705288502047291)</f>
        <v>0</v>
      </c>
      <c r="AQ53" s="29" t="s">
        <v>7</v>
      </c>
      <c r="AV53" s="28">
        <f>AW53+AX53</f>
        <v>0</v>
      </c>
      <c r="AW53" s="28">
        <f>H53*AO53</f>
        <v>0</v>
      </c>
      <c r="AX53" s="28">
        <f>H53*AP53</f>
        <v>0</v>
      </c>
      <c r="AY53" s="31" t="s">
        <v>634</v>
      </c>
      <c r="AZ53" s="31" t="s">
        <v>660</v>
      </c>
      <c r="BA53" s="27" t="s">
        <v>669</v>
      </c>
      <c r="BC53" s="28">
        <f>AW53+AX53</f>
        <v>0</v>
      </c>
      <c r="BD53" s="28">
        <f>I53/(100-BE53)*100</f>
        <v>0</v>
      </c>
      <c r="BE53" s="28">
        <v>0</v>
      </c>
      <c r="BF53" s="28">
        <f>53</f>
        <v>53</v>
      </c>
      <c r="BH53" s="17">
        <f>H53*AO53</f>
        <v>0</v>
      </c>
      <c r="BI53" s="17">
        <f>H53*AP53</f>
        <v>0</v>
      </c>
      <c r="BJ53" s="17">
        <f>H53*I53</f>
        <v>0</v>
      </c>
      <c r="BK53" s="17" t="s">
        <v>674</v>
      </c>
      <c r="BL53" s="28">
        <v>63</v>
      </c>
    </row>
    <row r="54" spans="1:14" ht="38.25" customHeight="1">
      <c r="A54" s="4"/>
      <c r="B54" s="13" t="s">
        <v>144</v>
      </c>
      <c r="C54" s="115" t="s">
        <v>334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4"/>
    </row>
    <row r="55" spans="1:14" s="86" customFormat="1" ht="12">
      <c r="A55" s="84"/>
      <c r="B55" s="85" t="s">
        <v>139</v>
      </c>
      <c r="C55" s="103" t="s">
        <v>335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84"/>
    </row>
    <row r="56" spans="1:47" ht="12.75">
      <c r="A56" s="69"/>
      <c r="B56" s="70" t="s">
        <v>70</v>
      </c>
      <c r="C56" s="108" t="s">
        <v>336</v>
      </c>
      <c r="D56" s="109"/>
      <c r="E56" s="109"/>
      <c r="F56" s="109"/>
      <c r="G56" s="71" t="s">
        <v>6</v>
      </c>
      <c r="H56" s="71" t="s">
        <v>6</v>
      </c>
      <c r="I56" s="94" t="s">
        <v>6</v>
      </c>
      <c r="J56" s="72">
        <f>SUM(J57:J65)</f>
        <v>0</v>
      </c>
      <c r="K56" s="72">
        <f>SUM(K57:K65)</f>
        <v>0</v>
      </c>
      <c r="L56" s="72">
        <f>SUM(L57:L65)</f>
        <v>0</v>
      </c>
      <c r="M56" s="73"/>
      <c r="N56" s="4"/>
      <c r="AI56" s="27"/>
      <c r="AS56" s="33">
        <f>SUM(AJ57:AJ65)</f>
        <v>0</v>
      </c>
      <c r="AT56" s="33">
        <f>SUM(AK57:AK65)</f>
        <v>0</v>
      </c>
      <c r="AU56" s="33">
        <f>SUM(AL57:AL65)</f>
        <v>0</v>
      </c>
    </row>
    <row r="57" spans="1:64" ht="12.75">
      <c r="A57" s="3" t="s">
        <v>21</v>
      </c>
      <c r="B57" s="11" t="s">
        <v>157</v>
      </c>
      <c r="C57" s="106" t="s">
        <v>337</v>
      </c>
      <c r="D57" s="107"/>
      <c r="E57" s="107"/>
      <c r="F57" s="107"/>
      <c r="G57" s="11" t="s">
        <v>597</v>
      </c>
      <c r="H57" s="17">
        <v>1</v>
      </c>
      <c r="I57" s="93">
        <v>0</v>
      </c>
      <c r="J57" s="17">
        <f>H57*AO57</f>
        <v>0</v>
      </c>
      <c r="K57" s="17">
        <f>H57*AP57</f>
        <v>0</v>
      </c>
      <c r="L57" s="17">
        <f>H57*I57</f>
        <v>0</v>
      </c>
      <c r="M57" s="24" t="s">
        <v>618</v>
      </c>
      <c r="N57" s="4"/>
      <c r="Z57" s="28">
        <f>IF(AQ57="5",BJ57,0)</f>
        <v>0</v>
      </c>
      <c r="AB57" s="28">
        <f>IF(AQ57="1",BH57,0)</f>
        <v>0</v>
      </c>
      <c r="AC57" s="28">
        <f>IF(AQ57="1",BI57,0)</f>
        <v>0</v>
      </c>
      <c r="AD57" s="28">
        <f>IF(AQ57="7",BH57,0)</f>
        <v>0</v>
      </c>
      <c r="AE57" s="28">
        <f>IF(AQ57="7",BI57,0)</f>
        <v>0</v>
      </c>
      <c r="AF57" s="28">
        <f>IF(AQ57="2",BH57,0)</f>
        <v>0</v>
      </c>
      <c r="AG57" s="28">
        <f>IF(AQ57="2",BI57,0)</f>
        <v>0</v>
      </c>
      <c r="AH57" s="28">
        <f>IF(AQ57="0",BJ57,0)</f>
        <v>0</v>
      </c>
      <c r="AI57" s="27"/>
      <c r="AJ57" s="17">
        <f>IF(AN57=0,L57,0)</f>
        <v>0</v>
      </c>
      <c r="AK57" s="17">
        <f>IF(AN57=15,L57,0)</f>
        <v>0</v>
      </c>
      <c r="AL57" s="17">
        <f>IF(AN57=21,L57,0)</f>
        <v>0</v>
      </c>
      <c r="AN57" s="28">
        <v>21</v>
      </c>
      <c r="AO57" s="28">
        <f>I57*0.558386363636364</f>
        <v>0</v>
      </c>
      <c r="AP57" s="28">
        <f>I57*(1-0.558386363636364)</f>
        <v>0</v>
      </c>
      <c r="AQ57" s="29" t="s">
        <v>7</v>
      </c>
      <c r="AV57" s="28">
        <f>AW57+AX57</f>
        <v>0</v>
      </c>
      <c r="AW57" s="28">
        <f>H57*AO57</f>
        <v>0</v>
      </c>
      <c r="AX57" s="28">
        <f>H57*AP57</f>
        <v>0</v>
      </c>
      <c r="AY57" s="31" t="s">
        <v>635</v>
      </c>
      <c r="AZ57" s="31" t="s">
        <v>660</v>
      </c>
      <c r="BA57" s="27" t="s">
        <v>669</v>
      </c>
      <c r="BC57" s="28">
        <f>AW57+AX57</f>
        <v>0</v>
      </c>
      <c r="BD57" s="28">
        <f>I57/(100-BE57)*100</f>
        <v>0</v>
      </c>
      <c r="BE57" s="28">
        <v>0</v>
      </c>
      <c r="BF57" s="28">
        <f>57</f>
        <v>57</v>
      </c>
      <c r="BH57" s="17">
        <f>H57*AO57</f>
        <v>0</v>
      </c>
      <c r="BI57" s="17">
        <f>H57*AP57</f>
        <v>0</v>
      </c>
      <c r="BJ57" s="17">
        <f>H57*I57</f>
        <v>0</v>
      </c>
      <c r="BK57" s="17" t="s">
        <v>674</v>
      </c>
      <c r="BL57" s="28">
        <v>64</v>
      </c>
    </row>
    <row r="58" spans="1:14" ht="12.75">
      <c r="A58" s="4"/>
      <c r="B58" s="13" t="s">
        <v>143</v>
      </c>
      <c r="C58" s="120" t="s">
        <v>338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2"/>
      <c r="N58" s="4"/>
    </row>
    <row r="59" spans="1:14" ht="12.75">
      <c r="A59" s="4"/>
      <c r="B59" s="13" t="s">
        <v>144</v>
      </c>
      <c r="C59" s="115" t="s">
        <v>339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4"/>
    </row>
    <row r="60" spans="1:14" s="86" customFormat="1" ht="12">
      <c r="A60" s="84"/>
      <c r="B60" s="85" t="s">
        <v>139</v>
      </c>
      <c r="C60" s="103" t="s">
        <v>340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5"/>
      <c r="N60" s="84"/>
    </row>
    <row r="61" spans="1:64" ht="12.75">
      <c r="A61" s="3" t="s">
        <v>22</v>
      </c>
      <c r="B61" s="11" t="s">
        <v>158</v>
      </c>
      <c r="C61" s="106" t="s">
        <v>341</v>
      </c>
      <c r="D61" s="107"/>
      <c r="E61" s="107"/>
      <c r="F61" s="107"/>
      <c r="G61" s="11" t="s">
        <v>597</v>
      </c>
      <c r="H61" s="17">
        <v>2</v>
      </c>
      <c r="I61" s="93">
        <v>0</v>
      </c>
      <c r="J61" s="17">
        <f>H61*AO61</f>
        <v>0</v>
      </c>
      <c r="K61" s="17">
        <f>H61*AP61</f>
        <v>0</v>
      </c>
      <c r="L61" s="17">
        <f>H61*I61</f>
        <v>0</v>
      </c>
      <c r="M61" s="24" t="s">
        <v>618</v>
      </c>
      <c r="N61" s="4"/>
      <c r="Z61" s="28">
        <f>IF(AQ61="5",BJ61,0)</f>
        <v>0</v>
      </c>
      <c r="AB61" s="28">
        <f>IF(AQ61="1",BH61,0)</f>
        <v>0</v>
      </c>
      <c r="AC61" s="28">
        <f>IF(AQ61="1",BI61,0)</f>
        <v>0</v>
      </c>
      <c r="AD61" s="28">
        <f>IF(AQ61="7",BH61,0)</f>
        <v>0</v>
      </c>
      <c r="AE61" s="28">
        <f>IF(AQ61="7",BI61,0)</f>
        <v>0</v>
      </c>
      <c r="AF61" s="28">
        <f>IF(AQ61="2",BH61,0)</f>
        <v>0</v>
      </c>
      <c r="AG61" s="28">
        <f>IF(AQ61="2",BI61,0)</f>
        <v>0</v>
      </c>
      <c r="AH61" s="28">
        <f>IF(AQ61="0",BJ61,0)</f>
        <v>0</v>
      </c>
      <c r="AI61" s="27"/>
      <c r="AJ61" s="17">
        <f>IF(AN61=0,L61,0)</f>
        <v>0</v>
      </c>
      <c r="AK61" s="17">
        <f>IF(AN61=15,L61,0)</f>
        <v>0</v>
      </c>
      <c r="AL61" s="17">
        <f>IF(AN61=21,L61,0)</f>
        <v>0</v>
      </c>
      <c r="AN61" s="28">
        <v>21</v>
      </c>
      <c r="AO61" s="28">
        <f>I61*0.557491112239716</f>
        <v>0</v>
      </c>
      <c r="AP61" s="28">
        <f>I61*(1-0.557491112239716)</f>
        <v>0</v>
      </c>
      <c r="AQ61" s="29" t="s">
        <v>7</v>
      </c>
      <c r="AV61" s="28">
        <f>AW61+AX61</f>
        <v>0</v>
      </c>
      <c r="AW61" s="28">
        <f>H61*AO61</f>
        <v>0</v>
      </c>
      <c r="AX61" s="28">
        <f>H61*AP61</f>
        <v>0</v>
      </c>
      <c r="AY61" s="31" t="s">
        <v>635</v>
      </c>
      <c r="AZ61" s="31" t="s">
        <v>660</v>
      </c>
      <c r="BA61" s="27" t="s">
        <v>669</v>
      </c>
      <c r="BC61" s="28">
        <f>AW61+AX61</f>
        <v>0</v>
      </c>
      <c r="BD61" s="28">
        <f>I61/(100-BE61)*100</f>
        <v>0</v>
      </c>
      <c r="BE61" s="28">
        <v>0</v>
      </c>
      <c r="BF61" s="28">
        <f>61</f>
        <v>61</v>
      </c>
      <c r="BH61" s="17">
        <f>H61*AO61</f>
        <v>0</v>
      </c>
      <c r="BI61" s="17">
        <f>H61*AP61</f>
        <v>0</v>
      </c>
      <c r="BJ61" s="17">
        <f>H61*I61</f>
        <v>0</v>
      </c>
      <c r="BK61" s="17" t="s">
        <v>674</v>
      </c>
      <c r="BL61" s="28">
        <v>64</v>
      </c>
    </row>
    <row r="62" spans="1:14" ht="12.75">
      <c r="A62" s="4"/>
      <c r="B62" s="13" t="s">
        <v>143</v>
      </c>
      <c r="C62" s="120" t="s">
        <v>342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2"/>
      <c r="N62" s="4"/>
    </row>
    <row r="63" spans="1:14" ht="63.75" customHeight="1">
      <c r="A63" s="4"/>
      <c r="B63" s="13" t="s">
        <v>144</v>
      </c>
      <c r="C63" s="115" t="s">
        <v>343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4"/>
    </row>
    <row r="64" spans="1:14" ht="12.75">
      <c r="A64" s="4"/>
      <c r="C64" s="115" t="s">
        <v>344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4"/>
    </row>
    <row r="65" spans="1:64" ht="12.75">
      <c r="A65" s="3" t="s">
        <v>23</v>
      </c>
      <c r="B65" s="11" t="s">
        <v>159</v>
      </c>
      <c r="C65" s="106" t="s">
        <v>341</v>
      </c>
      <c r="D65" s="107"/>
      <c r="E65" s="107"/>
      <c r="F65" s="107"/>
      <c r="G65" s="11" t="s">
        <v>597</v>
      </c>
      <c r="H65" s="17">
        <v>1</v>
      </c>
      <c r="I65" s="93">
        <v>0</v>
      </c>
      <c r="J65" s="17">
        <f>H65*AO65</f>
        <v>0</v>
      </c>
      <c r="K65" s="17">
        <f>H65*AP65</f>
        <v>0</v>
      </c>
      <c r="L65" s="17">
        <f>H65*I65</f>
        <v>0</v>
      </c>
      <c r="M65" s="24" t="s">
        <v>618</v>
      </c>
      <c r="N65" s="4"/>
      <c r="Z65" s="28">
        <f>IF(AQ65="5",BJ65,0)</f>
        <v>0</v>
      </c>
      <c r="AB65" s="28">
        <f>IF(AQ65="1",BH65,0)</f>
        <v>0</v>
      </c>
      <c r="AC65" s="28">
        <f>IF(AQ65="1",BI65,0)</f>
        <v>0</v>
      </c>
      <c r="AD65" s="28">
        <f>IF(AQ65="7",BH65,0)</f>
        <v>0</v>
      </c>
      <c r="AE65" s="28">
        <f>IF(AQ65="7",BI65,0)</f>
        <v>0</v>
      </c>
      <c r="AF65" s="28">
        <f>IF(AQ65="2",BH65,0)</f>
        <v>0</v>
      </c>
      <c r="AG65" s="28">
        <f>IF(AQ65="2",BI65,0)</f>
        <v>0</v>
      </c>
      <c r="AH65" s="28">
        <f>IF(AQ65="0",BJ65,0)</f>
        <v>0</v>
      </c>
      <c r="AI65" s="27"/>
      <c r="AJ65" s="17">
        <f>IF(AN65=0,L65,0)</f>
        <v>0</v>
      </c>
      <c r="AK65" s="17">
        <f>IF(AN65=15,L65,0)</f>
        <v>0</v>
      </c>
      <c r="AL65" s="17">
        <f>IF(AN65=21,L65,0)</f>
        <v>0</v>
      </c>
      <c r="AN65" s="28">
        <v>21</v>
      </c>
      <c r="AO65" s="28">
        <f>I65*0.566517412935323</f>
        <v>0</v>
      </c>
      <c r="AP65" s="28">
        <f>I65*(1-0.566517412935323)</f>
        <v>0</v>
      </c>
      <c r="AQ65" s="29" t="s">
        <v>7</v>
      </c>
      <c r="AV65" s="28">
        <f>AW65+AX65</f>
        <v>0</v>
      </c>
      <c r="AW65" s="28">
        <f>H65*AO65</f>
        <v>0</v>
      </c>
      <c r="AX65" s="28">
        <f>H65*AP65</f>
        <v>0</v>
      </c>
      <c r="AY65" s="31" t="s">
        <v>635</v>
      </c>
      <c r="AZ65" s="31" t="s">
        <v>660</v>
      </c>
      <c r="BA65" s="27" t="s">
        <v>669</v>
      </c>
      <c r="BC65" s="28">
        <f>AW65+AX65</f>
        <v>0</v>
      </c>
      <c r="BD65" s="28">
        <f>I65/(100-BE65)*100</f>
        <v>0</v>
      </c>
      <c r="BE65" s="28">
        <v>0</v>
      </c>
      <c r="BF65" s="28">
        <f>65</f>
        <v>65</v>
      </c>
      <c r="BH65" s="17">
        <f>H65*AO65</f>
        <v>0</v>
      </c>
      <c r="BI65" s="17">
        <f>H65*AP65</f>
        <v>0</v>
      </c>
      <c r="BJ65" s="17">
        <f>H65*I65</f>
        <v>0</v>
      </c>
      <c r="BK65" s="17" t="s">
        <v>674</v>
      </c>
      <c r="BL65" s="28">
        <v>64</v>
      </c>
    </row>
    <row r="66" spans="1:14" ht="12.75">
      <c r="A66" s="4"/>
      <c r="B66" s="13" t="s">
        <v>143</v>
      </c>
      <c r="C66" s="120" t="s">
        <v>345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2"/>
      <c r="N66" s="4"/>
    </row>
    <row r="67" spans="1:14" ht="63.75" customHeight="1">
      <c r="A67" s="4"/>
      <c r="B67" s="13" t="s">
        <v>144</v>
      </c>
      <c r="C67" s="115" t="s">
        <v>343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4"/>
    </row>
    <row r="68" spans="1:14" ht="12.75">
      <c r="A68" s="4"/>
      <c r="C68" s="115" t="s">
        <v>344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4"/>
    </row>
    <row r="69" spans="1:47" ht="12.75">
      <c r="A69" s="69"/>
      <c r="B69" s="70" t="s">
        <v>160</v>
      </c>
      <c r="C69" s="108" t="s">
        <v>346</v>
      </c>
      <c r="D69" s="109"/>
      <c r="E69" s="109"/>
      <c r="F69" s="109"/>
      <c r="G69" s="71" t="s">
        <v>6</v>
      </c>
      <c r="H69" s="71" t="s">
        <v>6</v>
      </c>
      <c r="I69" s="94" t="s">
        <v>6</v>
      </c>
      <c r="J69" s="72">
        <f>SUM(J70:J83)</f>
        <v>0</v>
      </c>
      <c r="K69" s="72">
        <f>SUM(K70:K83)</f>
        <v>0</v>
      </c>
      <c r="L69" s="72">
        <f>SUM(L70:L83)</f>
        <v>0</v>
      </c>
      <c r="M69" s="73"/>
      <c r="N69" s="4"/>
      <c r="AI69" s="27"/>
      <c r="AS69" s="33">
        <f>SUM(AJ70:AJ83)</f>
        <v>0</v>
      </c>
      <c r="AT69" s="33">
        <f>SUM(AK70:AK83)</f>
        <v>0</v>
      </c>
      <c r="AU69" s="33">
        <f>SUM(AL70:AL83)</f>
        <v>0</v>
      </c>
    </row>
    <row r="70" spans="1:64" ht="12.75">
      <c r="A70" s="3" t="s">
        <v>24</v>
      </c>
      <c r="B70" s="11" t="s">
        <v>161</v>
      </c>
      <c r="C70" s="106" t="s">
        <v>347</v>
      </c>
      <c r="D70" s="107"/>
      <c r="E70" s="107"/>
      <c r="F70" s="107"/>
      <c r="G70" s="11" t="s">
        <v>594</v>
      </c>
      <c r="H70" s="17">
        <v>22.175</v>
      </c>
      <c r="I70" s="93">
        <v>0</v>
      </c>
      <c r="J70" s="17">
        <f>H70*AO70</f>
        <v>0</v>
      </c>
      <c r="K70" s="17">
        <f>H70*AP70</f>
        <v>0</v>
      </c>
      <c r="L70" s="17">
        <f>H70*I70</f>
        <v>0</v>
      </c>
      <c r="M70" s="24" t="s">
        <v>618</v>
      </c>
      <c r="N70" s="4"/>
      <c r="Z70" s="28">
        <f>IF(AQ70="5",BJ70,0)</f>
        <v>0</v>
      </c>
      <c r="AB70" s="28">
        <f>IF(AQ70="1",BH70,0)</f>
        <v>0</v>
      </c>
      <c r="AC70" s="28">
        <f>IF(AQ70="1",BI70,0)</f>
        <v>0</v>
      </c>
      <c r="AD70" s="28">
        <f>IF(AQ70="7",BH70,0)</f>
        <v>0</v>
      </c>
      <c r="AE70" s="28">
        <f>IF(AQ70="7",BI70,0)</f>
        <v>0</v>
      </c>
      <c r="AF70" s="28">
        <f>IF(AQ70="2",BH70,0)</f>
        <v>0</v>
      </c>
      <c r="AG70" s="28">
        <f>IF(AQ70="2",BI70,0)</f>
        <v>0</v>
      </c>
      <c r="AH70" s="28">
        <f>IF(AQ70="0",BJ70,0)</f>
        <v>0</v>
      </c>
      <c r="AI70" s="27"/>
      <c r="AJ70" s="17">
        <f>IF(AN70=0,L70,0)</f>
        <v>0</v>
      </c>
      <c r="AK70" s="17">
        <f>IF(AN70=15,L70,0)</f>
        <v>0</v>
      </c>
      <c r="AL70" s="17">
        <f>IF(AN70=21,L70,0)</f>
        <v>0</v>
      </c>
      <c r="AN70" s="28">
        <v>21</v>
      </c>
      <c r="AO70" s="28">
        <f>I70*0.608238747026075</f>
        <v>0</v>
      </c>
      <c r="AP70" s="28">
        <f>I70*(1-0.608238747026075)</f>
        <v>0</v>
      </c>
      <c r="AQ70" s="29" t="s">
        <v>13</v>
      </c>
      <c r="AV70" s="28">
        <f>AW70+AX70</f>
        <v>0</v>
      </c>
      <c r="AW70" s="28">
        <f>H70*AO70</f>
        <v>0</v>
      </c>
      <c r="AX70" s="28">
        <f>H70*AP70</f>
        <v>0</v>
      </c>
      <c r="AY70" s="31" t="s">
        <v>636</v>
      </c>
      <c r="AZ70" s="31" t="s">
        <v>661</v>
      </c>
      <c r="BA70" s="27" t="s">
        <v>669</v>
      </c>
      <c r="BC70" s="28">
        <f>AW70+AX70</f>
        <v>0</v>
      </c>
      <c r="BD70" s="28">
        <f>I70/(100-BE70)*100</f>
        <v>0</v>
      </c>
      <c r="BE70" s="28">
        <v>0</v>
      </c>
      <c r="BF70" s="28">
        <f>70</f>
        <v>70</v>
      </c>
      <c r="BH70" s="17">
        <f>H70*AO70</f>
        <v>0</v>
      </c>
      <c r="BI70" s="17">
        <f>H70*AP70</f>
        <v>0</v>
      </c>
      <c r="BJ70" s="17">
        <f>H70*I70</f>
        <v>0</v>
      </c>
      <c r="BK70" s="17" t="s">
        <v>674</v>
      </c>
      <c r="BL70" s="28">
        <v>711</v>
      </c>
    </row>
    <row r="71" spans="1:14" ht="12.75">
      <c r="A71" s="4"/>
      <c r="B71" s="13" t="s">
        <v>143</v>
      </c>
      <c r="C71" s="120" t="s">
        <v>348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2"/>
      <c r="N71" s="4"/>
    </row>
    <row r="72" spans="1:14" ht="12.75">
      <c r="A72" s="4"/>
      <c r="B72" s="13" t="s">
        <v>144</v>
      </c>
      <c r="C72" s="115" t="s">
        <v>349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4"/>
    </row>
    <row r="73" spans="1:14" s="86" customFormat="1" ht="12">
      <c r="A73" s="84"/>
      <c r="B73" s="85" t="s">
        <v>139</v>
      </c>
      <c r="C73" s="103" t="s">
        <v>350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5"/>
      <c r="N73" s="84"/>
    </row>
    <row r="74" spans="1:64" ht="12.75">
      <c r="A74" s="3" t="s">
        <v>25</v>
      </c>
      <c r="B74" s="11" t="s">
        <v>162</v>
      </c>
      <c r="C74" s="106" t="s">
        <v>351</v>
      </c>
      <c r="D74" s="107"/>
      <c r="E74" s="107"/>
      <c r="F74" s="107"/>
      <c r="G74" s="11" t="s">
        <v>594</v>
      </c>
      <c r="H74" s="17">
        <v>22.175</v>
      </c>
      <c r="I74" s="93">
        <v>0</v>
      </c>
      <c r="J74" s="17">
        <f>H74*AO74</f>
        <v>0</v>
      </c>
      <c r="K74" s="17">
        <f>H74*AP74</f>
        <v>0</v>
      </c>
      <c r="L74" s="17">
        <f>H74*I74</f>
        <v>0</v>
      </c>
      <c r="M74" s="24" t="s">
        <v>618</v>
      </c>
      <c r="N74" s="4"/>
      <c r="Z74" s="28">
        <f>IF(AQ74="5",BJ74,0)</f>
        <v>0</v>
      </c>
      <c r="AB74" s="28">
        <f>IF(AQ74="1",BH74,0)</f>
        <v>0</v>
      </c>
      <c r="AC74" s="28">
        <f>IF(AQ74="1",BI74,0)</f>
        <v>0</v>
      </c>
      <c r="AD74" s="28">
        <f>IF(AQ74="7",BH74,0)</f>
        <v>0</v>
      </c>
      <c r="AE74" s="28">
        <f>IF(AQ74="7",BI74,0)</f>
        <v>0</v>
      </c>
      <c r="AF74" s="28">
        <f>IF(AQ74="2",BH74,0)</f>
        <v>0</v>
      </c>
      <c r="AG74" s="28">
        <f>IF(AQ74="2",BI74,0)</f>
        <v>0</v>
      </c>
      <c r="AH74" s="28">
        <f>IF(AQ74="0",BJ74,0)</f>
        <v>0</v>
      </c>
      <c r="AI74" s="27"/>
      <c r="AJ74" s="17">
        <f>IF(AN74=0,L74,0)</f>
        <v>0</v>
      </c>
      <c r="AK74" s="17">
        <f>IF(AN74=15,L74,0)</f>
        <v>0</v>
      </c>
      <c r="AL74" s="17">
        <f>IF(AN74=21,L74,0)</f>
        <v>0</v>
      </c>
      <c r="AN74" s="28">
        <v>21</v>
      </c>
      <c r="AO74" s="28">
        <f>I74*0.399775441494092</f>
        <v>0</v>
      </c>
      <c r="AP74" s="28">
        <f>I74*(1-0.399775441494092)</f>
        <v>0</v>
      </c>
      <c r="AQ74" s="29" t="s">
        <v>13</v>
      </c>
      <c r="AV74" s="28">
        <f>AW74+AX74</f>
        <v>0</v>
      </c>
      <c r="AW74" s="28">
        <f>H74*AO74</f>
        <v>0</v>
      </c>
      <c r="AX74" s="28">
        <f>H74*AP74</f>
        <v>0</v>
      </c>
      <c r="AY74" s="31" t="s">
        <v>636</v>
      </c>
      <c r="AZ74" s="31" t="s">
        <v>661</v>
      </c>
      <c r="BA74" s="27" t="s">
        <v>669</v>
      </c>
      <c r="BC74" s="28">
        <f>AW74+AX74</f>
        <v>0</v>
      </c>
      <c r="BD74" s="28">
        <f>I74/(100-BE74)*100</f>
        <v>0</v>
      </c>
      <c r="BE74" s="28">
        <v>0</v>
      </c>
      <c r="BF74" s="28">
        <f>74</f>
        <v>74</v>
      </c>
      <c r="BH74" s="17">
        <f>H74*AO74</f>
        <v>0</v>
      </c>
      <c r="BI74" s="17">
        <f>H74*AP74</f>
        <v>0</v>
      </c>
      <c r="BJ74" s="17">
        <f>H74*I74</f>
        <v>0</v>
      </c>
      <c r="BK74" s="17" t="s">
        <v>674</v>
      </c>
      <c r="BL74" s="28">
        <v>711</v>
      </c>
    </row>
    <row r="75" spans="1:14" ht="12.75">
      <c r="A75" s="4"/>
      <c r="B75" s="13" t="s">
        <v>143</v>
      </c>
      <c r="C75" s="120" t="s">
        <v>352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2"/>
      <c r="N75" s="4"/>
    </row>
    <row r="76" spans="1:14" ht="12.75">
      <c r="A76" s="4"/>
      <c r="B76" s="13" t="s">
        <v>144</v>
      </c>
      <c r="C76" s="115" t="s">
        <v>353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4"/>
    </row>
    <row r="77" spans="1:64" ht="12.75">
      <c r="A77" s="3" t="s">
        <v>26</v>
      </c>
      <c r="B77" s="11" t="s">
        <v>163</v>
      </c>
      <c r="C77" s="106" t="s">
        <v>354</v>
      </c>
      <c r="D77" s="107"/>
      <c r="E77" s="107"/>
      <c r="F77" s="107"/>
      <c r="G77" s="11" t="s">
        <v>598</v>
      </c>
      <c r="H77" s="17">
        <v>7.38</v>
      </c>
      <c r="I77" s="93">
        <v>0</v>
      </c>
      <c r="J77" s="17">
        <f>H77*AO77</f>
        <v>0</v>
      </c>
      <c r="K77" s="17">
        <f>H77*AP77</f>
        <v>0</v>
      </c>
      <c r="L77" s="17">
        <f>H77*I77</f>
        <v>0</v>
      </c>
      <c r="M77" s="24" t="s">
        <v>618</v>
      </c>
      <c r="N77" s="4"/>
      <c r="Z77" s="28">
        <f>IF(AQ77="5",BJ77,0)</f>
        <v>0</v>
      </c>
      <c r="AB77" s="28">
        <f>IF(AQ77="1",BH77,0)</f>
        <v>0</v>
      </c>
      <c r="AC77" s="28">
        <f>IF(AQ77="1",BI77,0)</f>
        <v>0</v>
      </c>
      <c r="AD77" s="28">
        <f>IF(AQ77="7",BH77,0)</f>
        <v>0</v>
      </c>
      <c r="AE77" s="28">
        <f>IF(AQ77="7",BI77,0)</f>
        <v>0</v>
      </c>
      <c r="AF77" s="28">
        <f>IF(AQ77="2",BH77,0)</f>
        <v>0</v>
      </c>
      <c r="AG77" s="28">
        <f>IF(AQ77="2",BI77,0)</f>
        <v>0</v>
      </c>
      <c r="AH77" s="28">
        <f>IF(AQ77="0",BJ77,0)</f>
        <v>0</v>
      </c>
      <c r="AI77" s="27"/>
      <c r="AJ77" s="17">
        <f>IF(AN77=0,L77,0)</f>
        <v>0</v>
      </c>
      <c r="AK77" s="17">
        <f>IF(AN77=15,L77,0)</f>
        <v>0</v>
      </c>
      <c r="AL77" s="17">
        <f>IF(AN77=21,L77,0)</f>
        <v>0</v>
      </c>
      <c r="AN77" s="28">
        <v>21</v>
      </c>
      <c r="AO77" s="28">
        <f>I77*0.604071279658493</f>
        <v>0</v>
      </c>
      <c r="AP77" s="28">
        <f>I77*(1-0.604071279658493)</f>
        <v>0</v>
      </c>
      <c r="AQ77" s="29" t="s">
        <v>13</v>
      </c>
      <c r="AV77" s="28">
        <f>AW77+AX77</f>
        <v>0</v>
      </c>
      <c r="AW77" s="28">
        <f>H77*AO77</f>
        <v>0</v>
      </c>
      <c r="AX77" s="28">
        <f>H77*AP77</f>
        <v>0</v>
      </c>
      <c r="AY77" s="31" t="s">
        <v>636</v>
      </c>
      <c r="AZ77" s="31" t="s">
        <v>661</v>
      </c>
      <c r="BA77" s="27" t="s">
        <v>669</v>
      </c>
      <c r="BC77" s="28">
        <f>AW77+AX77</f>
        <v>0</v>
      </c>
      <c r="BD77" s="28">
        <f>I77/(100-BE77)*100</f>
        <v>0</v>
      </c>
      <c r="BE77" s="28">
        <v>0</v>
      </c>
      <c r="BF77" s="28">
        <f>77</f>
        <v>77</v>
      </c>
      <c r="BH77" s="17">
        <f>H77*AO77</f>
        <v>0</v>
      </c>
      <c r="BI77" s="17">
        <f>H77*AP77</f>
        <v>0</v>
      </c>
      <c r="BJ77" s="17">
        <f>H77*I77</f>
        <v>0</v>
      </c>
      <c r="BK77" s="17" t="s">
        <v>674</v>
      </c>
      <c r="BL77" s="28">
        <v>711</v>
      </c>
    </row>
    <row r="78" spans="1:14" ht="12.75">
      <c r="A78" s="4"/>
      <c r="B78" s="13" t="s">
        <v>143</v>
      </c>
      <c r="C78" s="120" t="s">
        <v>355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2"/>
      <c r="N78" s="4"/>
    </row>
    <row r="79" spans="1:14" ht="12.75">
      <c r="A79" s="4"/>
      <c r="B79" s="13" t="s">
        <v>144</v>
      </c>
      <c r="C79" s="115" t="s">
        <v>356</v>
      </c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4"/>
    </row>
    <row r="80" spans="1:64" ht="12.75">
      <c r="A80" s="3" t="s">
        <v>27</v>
      </c>
      <c r="B80" s="11" t="s">
        <v>164</v>
      </c>
      <c r="C80" s="106" t="s">
        <v>357</v>
      </c>
      <c r="D80" s="107"/>
      <c r="E80" s="107"/>
      <c r="F80" s="107"/>
      <c r="G80" s="11" t="s">
        <v>598</v>
      </c>
      <c r="H80" s="17">
        <v>9</v>
      </c>
      <c r="I80" s="93">
        <v>0</v>
      </c>
      <c r="J80" s="17">
        <f>H80*AO80</f>
        <v>0</v>
      </c>
      <c r="K80" s="17">
        <f>H80*AP80</f>
        <v>0</v>
      </c>
      <c r="L80" s="17">
        <f>H80*I80</f>
        <v>0</v>
      </c>
      <c r="M80" s="24" t="s">
        <v>618</v>
      </c>
      <c r="N80" s="4"/>
      <c r="Z80" s="28">
        <f>IF(AQ80="5",BJ80,0)</f>
        <v>0</v>
      </c>
      <c r="AB80" s="28">
        <f>IF(AQ80="1",BH80,0)</f>
        <v>0</v>
      </c>
      <c r="AC80" s="28">
        <f>IF(AQ80="1",BI80,0)</f>
        <v>0</v>
      </c>
      <c r="AD80" s="28">
        <f>IF(AQ80="7",BH80,0)</f>
        <v>0</v>
      </c>
      <c r="AE80" s="28">
        <f>IF(AQ80="7",BI80,0)</f>
        <v>0</v>
      </c>
      <c r="AF80" s="28">
        <f>IF(AQ80="2",BH80,0)</f>
        <v>0</v>
      </c>
      <c r="AG80" s="28">
        <f>IF(AQ80="2",BI80,0)</f>
        <v>0</v>
      </c>
      <c r="AH80" s="28">
        <f>IF(AQ80="0",BJ80,0)</f>
        <v>0</v>
      </c>
      <c r="AI80" s="27"/>
      <c r="AJ80" s="17">
        <f>IF(AN80=0,L80,0)</f>
        <v>0</v>
      </c>
      <c r="AK80" s="17">
        <f>IF(AN80=15,L80,0)</f>
        <v>0</v>
      </c>
      <c r="AL80" s="17">
        <f>IF(AN80=21,L80,0)</f>
        <v>0</v>
      </c>
      <c r="AN80" s="28">
        <v>21</v>
      </c>
      <c r="AO80" s="28">
        <f>I80*0.544503311258278</f>
        <v>0</v>
      </c>
      <c r="AP80" s="28">
        <f>I80*(1-0.544503311258278)</f>
        <v>0</v>
      </c>
      <c r="AQ80" s="29" t="s">
        <v>13</v>
      </c>
      <c r="AV80" s="28">
        <f>AW80+AX80</f>
        <v>0</v>
      </c>
      <c r="AW80" s="28">
        <f>H80*AO80</f>
        <v>0</v>
      </c>
      <c r="AX80" s="28">
        <f>H80*AP80</f>
        <v>0</v>
      </c>
      <c r="AY80" s="31" t="s">
        <v>636</v>
      </c>
      <c r="AZ80" s="31" t="s">
        <v>661</v>
      </c>
      <c r="BA80" s="27" t="s">
        <v>669</v>
      </c>
      <c r="BC80" s="28">
        <f>AW80+AX80</f>
        <v>0</v>
      </c>
      <c r="BD80" s="28">
        <f>I80/(100-BE80)*100</f>
        <v>0</v>
      </c>
      <c r="BE80" s="28">
        <v>0</v>
      </c>
      <c r="BF80" s="28">
        <f>80</f>
        <v>80</v>
      </c>
      <c r="BH80" s="17">
        <f>H80*AO80</f>
        <v>0</v>
      </c>
      <c r="BI80" s="17">
        <f>H80*AP80</f>
        <v>0</v>
      </c>
      <c r="BJ80" s="17">
        <f>H80*I80</f>
        <v>0</v>
      </c>
      <c r="BK80" s="17" t="s">
        <v>674</v>
      </c>
      <c r="BL80" s="28">
        <v>711</v>
      </c>
    </row>
    <row r="81" spans="1:14" ht="12.75">
      <c r="A81" s="4"/>
      <c r="B81" s="13" t="s">
        <v>143</v>
      </c>
      <c r="C81" s="120" t="s">
        <v>355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2"/>
      <c r="N81" s="4"/>
    </row>
    <row r="82" spans="1:14" ht="12.75">
      <c r="A82" s="4"/>
      <c r="B82" s="13" t="s">
        <v>144</v>
      </c>
      <c r="C82" s="115" t="s">
        <v>358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7"/>
      <c r="N82" s="4"/>
    </row>
    <row r="83" spans="1:64" ht="12.75">
      <c r="A83" s="3" t="s">
        <v>28</v>
      </c>
      <c r="B83" s="11" t="s">
        <v>165</v>
      </c>
      <c r="C83" s="106" t="s">
        <v>359</v>
      </c>
      <c r="D83" s="107"/>
      <c r="E83" s="107"/>
      <c r="F83" s="107"/>
      <c r="G83" s="11" t="s">
        <v>594</v>
      </c>
      <c r="H83" s="17">
        <v>27.4801</v>
      </c>
      <c r="I83" s="93">
        <v>0</v>
      </c>
      <c r="J83" s="17">
        <f>H83*AO83</f>
        <v>0</v>
      </c>
      <c r="K83" s="17">
        <f>H83*AP83</f>
        <v>0</v>
      </c>
      <c r="L83" s="17">
        <f>H83*I83</f>
        <v>0</v>
      </c>
      <c r="M83" s="24" t="s">
        <v>618</v>
      </c>
      <c r="N83" s="4"/>
      <c r="Z83" s="28">
        <f>IF(AQ83="5",BJ83,0)</f>
        <v>0</v>
      </c>
      <c r="AB83" s="28">
        <f>IF(AQ83="1",BH83,0)</f>
        <v>0</v>
      </c>
      <c r="AC83" s="28">
        <f>IF(AQ83="1",BI83,0)</f>
        <v>0</v>
      </c>
      <c r="AD83" s="28">
        <f>IF(AQ83="7",BH83,0)</f>
        <v>0</v>
      </c>
      <c r="AE83" s="28">
        <f>IF(AQ83="7",BI83,0)</f>
        <v>0</v>
      </c>
      <c r="AF83" s="28">
        <f>IF(AQ83="2",BH83,0)</f>
        <v>0</v>
      </c>
      <c r="AG83" s="28">
        <f>IF(AQ83="2",BI83,0)</f>
        <v>0</v>
      </c>
      <c r="AH83" s="28">
        <f>IF(AQ83="0",BJ83,0)</f>
        <v>0</v>
      </c>
      <c r="AI83" s="27"/>
      <c r="AJ83" s="17">
        <f>IF(AN83=0,L83,0)</f>
        <v>0</v>
      </c>
      <c r="AK83" s="17">
        <f>IF(AN83=15,L83,0)</f>
        <v>0</v>
      </c>
      <c r="AL83" s="17">
        <f>IF(AN83=21,L83,0)</f>
        <v>0</v>
      </c>
      <c r="AN83" s="28">
        <v>21</v>
      </c>
      <c r="AO83" s="28">
        <f>I83*0</f>
        <v>0</v>
      </c>
      <c r="AP83" s="28">
        <f>I83*(1-0)</f>
        <v>0</v>
      </c>
      <c r="AQ83" s="29" t="s">
        <v>13</v>
      </c>
      <c r="AV83" s="28">
        <f>AW83+AX83</f>
        <v>0</v>
      </c>
      <c r="AW83" s="28">
        <f>H83*AO83</f>
        <v>0</v>
      </c>
      <c r="AX83" s="28">
        <f>H83*AP83</f>
        <v>0</v>
      </c>
      <c r="AY83" s="31" t="s">
        <v>636</v>
      </c>
      <c r="AZ83" s="31" t="s">
        <v>661</v>
      </c>
      <c r="BA83" s="27" t="s">
        <v>669</v>
      </c>
      <c r="BC83" s="28">
        <f>AW83+AX83</f>
        <v>0</v>
      </c>
      <c r="BD83" s="28">
        <f>I83/(100-BE83)*100</f>
        <v>0</v>
      </c>
      <c r="BE83" s="28">
        <v>0</v>
      </c>
      <c r="BF83" s="28">
        <f>83</f>
        <v>83</v>
      </c>
      <c r="BH83" s="17">
        <f>H83*AO83</f>
        <v>0</v>
      </c>
      <c r="BI83" s="17">
        <f>H83*AP83</f>
        <v>0</v>
      </c>
      <c r="BJ83" s="17">
        <f>H83*I83</f>
        <v>0</v>
      </c>
      <c r="BK83" s="17" t="s">
        <v>674</v>
      </c>
      <c r="BL83" s="28">
        <v>711</v>
      </c>
    </row>
    <row r="84" spans="1:14" ht="12.75">
      <c r="A84" s="4"/>
      <c r="B84" s="13" t="s">
        <v>143</v>
      </c>
      <c r="C84" s="120" t="s">
        <v>360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2"/>
      <c r="N84" s="4"/>
    </row>
    <row r="85" spans="1:14" s="86" customFormat="1" ht="12">
      <c r="A85" s="84"/>
      <c r="B85" s="85" t="s">
        <v>139</v>
      </c>
      <c r="C85" s="103" t="s">
        <v>361</v>
      </c>
      <c r="D85" s="104"/>
      <c r="E85" s="104"/>
      <c r="F85" s="104"/>
      <c r="G85" s="104"/>
      <c r="H85" s="104"/>
      <c r="I85" s="104"/>
      <c r="J85" s="104"/>
      <c r="K85" s="104"/>
      <c r="L85" s="104"/>
      <c r="M85" s="105"/>
      <c r="N85" s="84"/>
    </row>
    <row r="86" spans="1:47" ht="12.75">
      <c r="A86" s="69"/>
      <c r="B86" s="70" t="s">
        <v>166</v>
      </c>
      <c r="C86" s="108" t="s">
        <v>362</v>
      </c>
      <c r="D86" s="109"/>
      <c r="E86" s="109"/>
      <c r="F86" s="109"/>
      <c r="G86" s="71" t="s">
        <v>6</v>
      </c>
      <c r="H86" s="71" t="s">
        <v>6</v>
      </c>
      <c r="I86" s="94" t="s">
        <v>6</v>
      </c>
      <c r="J86" s="72">
        <f>SUM(J87:J87)</f>
        <v>0</v>
      </c>
      <c r="K86" s="72">
        <f>SUM(K87:K87)</f>
        <v>0</v>
      </c>
      <c r="L86" s="72">
        <f>SUM(L87:L87)</f>
        <v>0</v>
      </c>
      <c r="M86" s="73"/>
      <c r="N86" s="4"/>
      <c r="AI86" s="27"/>
      <c r="AS86" s="33">
        <f>SUM(AJ87:AJ87)</f>
        <v>0</v>
      </c>
      <c r="AT86" s="33">
        <f>SUM(AK87:AK87)</f>
        <v>0</v>
      </c>
      <c r="AU86" s="33">
        <f>SUM(AL87:AL87)</f>
        <v>0</v>
      </c>
    </row>
    <row r="87" spans="1:64" ht="12.75">
      <c r="A87" s="3" t="s">
        <v>29</v>
      </c>
      <c r="B87" s="11" t="s">
        <v>167</v>
      </c>
      <c r="C87" s="106" t="s">
        <v>363</v>
      </c>
      <c r="D87" s="107"/>
      <c r="E87" s="107"/>
      <c r="F87" s="107"/>
      <c r="G87" s="11" t="s">
        <v>594</v>
      </c>
      <c r="H87" s="17">
        <v>27.4801</v>
      </c>
      <c r="I87" s="93">
        <v>0</v>
      </c>
      <c r="J87" s="17">
        <f>H87*AO87</f>
        <v>0</v>
      </c>
      <c r="K87" s="17">
        <f>H87*AP87</f>
        <v>0</v>
      </c>
      <c r="L87" s="17">
        <f>H87*I87</f>
        <v>0</v>
      </c>
      <c r="M87" s="24" t="s">
        <v>618</v>
      </c>
      <c r="N87" s="4"/>
      <c r="Z87" s="28">
        <f>IF(AQ87="5",BJ87,0)</f>
        <v>0</v>
      </c>
      <c r="AB87" s="28">
        <f>IF(AQ87="1",BH87,0)</f>
        <v>0</v>
      </c>
      <c r="AC87" s="28">
        <f>IF(AQ87="1",BI87,0)</f>
        <v>0</v>
      </c>
      <c r="AD87" s="28">
        <f>IF(AQ87="7",BH87,0)</f>
        <v>0</v>
      </c>
      <c r="AE87" s="28">
        <f>IF(AQ87="7",BI87,0)</f>
        <v>0</v>
      </c>
      <c r="AF87" s="28">
        <f>IF(AQ87="2",BH87,0)</f>
        <v>0</v>
      </c>
      <c r="AG87" s="28">
        <f>IF(AQ87="2",BI87,0)</f>
        <v>0</v>
      </c>
      <c r="AH87" s="28">
        <f>IF(AQ87="0",BJ87,0)</f>
        <v>0</v>
      </c>
      <c r="AI87" s="27"/>
      <c r="AJ87" s="17">
        <f>IF(AN87=0,L87,0)</f>
        <v>0</v>
      </c>
      <c r="AK87" s="17">
        <f>IF(AN87=15,L87,0)</f>
        <v>0</v>
      </c>
      <c r="AL87" s="17">
        <f>IF(AN87=21,L87,0)</f>
        <v>0</v>
      </c>
      <c r="AN87" s="28">
        <v>21</v>
      </c>
      <c r="AO87" s="28">
        <f>I87*0.850803012712025</f>
        <v>0</v>
      </c>
      <c r="AP87" s="28">
        <f>I87*(1-0.850803012712025)</f>
        <v>0</v>
      </c>
      <c r="AQ87" s="29" t="s">
        <v>13</v>
      </c>
      <c r="AV87" s="28">
        <f>AW87+AX87</f>
        <v>0</v>
      </c>
      <c r="AW87" s="28">
        <f>H87*AO87</f>
        <v>0</v>
      </c>
      <c r="AX87" s="28">
        <f>H87*AP87</f>
        <v>0</v>
      </c>
      <c r="AY87" s="31" t="s">
        <v>637</v>
      </c>
      <c r="AZ87" s="31" t="s">
        <v>661</v>
      </c>
      <c r="BA87" s="27" t="s">
        <v>669</v>
      </c>
      <c r="BC87" s="28">
        <f>AW87+AX87</f>
        <v>0</v>
      </c>
      <c r="BD87" s="28">
        <f>I87/(100-BE87)*100</f>
        <v>0</v>
      </c>
      <c r="BE87" s="28">
        <v>0</v>
      </c>
      <c r="BF87" s="28">
        <f>87</f>
        <v>87</v>
      </c>
      <c r="BH87" s="17">
        <f>H87*AO87</f>
        <v>0</v>
      </c>
      <c r="BI87" s="17">
        <f>H87*AP87</f>
        <v>0</v>
      </c>
      <c r="BJ87" s="17">
        <f>H87*I87</f>
        <v>0</v>
      </c>
      <c r="BK87" s="17" t="s">
        <v>674</v>
      </c>
      <c r="BL87" s="28">
        <v>713</v>
      </c>
    </row>
    <row r="88" spans="1:14" ht="12.75">
      <c r="A88" s="4"/>
      <c r="B88" s="13" t="s">
        <v>143</v>
      </c>
      <c r="C88" s="120" t="s">
        <v>364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2"/>
      <c r="N88" s="4"/>
    </row>
    <row r="89" spans="1:14" ht="12.75">
      <c r="A89" s="4"/>
      <c r="B89" s="13" t="s">
        <v>144</v>
      </c>
      <c r="C89" s="115" t="s">
        <v>365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7"/>
      <c r="N89" s="4"/>
    </row>
    <row r="90" spans="1:47" ht="12.75">
      <c r="A90" s="69"/>
      <c r="B90" s="70" t="s">
        <v>168</v>
      </c>
      <c r="C90" s="108" t="s">
        <v>366</v>
      </c>
      <c r="D90" s="109"/>
      <c r="E90" s="109"/>
      <c r="F90" s="109"/>
      <c r="G90" s="71" t="s">
        <v>6</v>
      </c>
      <c r="H90" s="71" t="s">
        <v>6</v>
      </c>
      <c r="I90" s="94" t="s">
        <v>6</v>
      </c>
      <c r="J90" s="72">
        <f>SUM(J91:J96)</f>
        <v>0</v>
      </c>
      <c r="K90" s="72">
        <f>SUM(K91:K96)</f>
        <v>0</v>
      </c>
      <c r="L90" s="72">
        <f>SUM(L91:L96)</f>
        <v>0</v>
      </c>
      <c r="M90" s="73"/>
      <c r="N90" s="4"/>
      <c r="AI90" s="27"/>
      <c r="AS90" s="33">
        <f>SUM(AJ91:AJ96)</f>
        <v>0</v>
      </c>
      <c r="AT90" s="33">
        <f>SUM(AK91:AK96)</f>
        <v>0</v>
      </c>
      <c r="AU90" s="33">
        <f>SUM(AL91:AL96)</f>
        <v>0</v>
      </c>
    </row>
    <row r="91" spans="1:64" ht="12.75">
      <c r="A91" s="75" t="s">
        <v>30</v>
      </c>
      <c r="B91" s="75" t="s">
        <v>169</v>
      </c>
      <c r="C91" s="123" t="s">
        <v>367</v>
      </c>
      <c r="D91" s="107"/>
      <c r="E91" s="107"/>
      <c r="F91" s="124"/>
      <c r="G91" s="75" t="s">
        <v>598</v>
      </c>
      <c r="H91" s="76">
        <v>10</v>
      </c>
      <c r="I91" s="95">
        <v>0</v>
      </c>
      <c r="J91" s="76">
        <f>H91*AO91</f>
        <v>0</v>
      </c>
      <c r="K91" s="76">
        <f>H91*AP91</f>
        <v>0</v>
      </c>
      <c r="L91" s="76">
        <f>H91*I91</f>
        <v>0</v>
      </c>
      <c r="M91" s="77" t="s">
        <v>618</v>
      </c>
      <c r="N91" s="63"/>
      <c r="Z91" s="28">
        <f>IF(AQ91="5",BJ91,0)</f>
        <v>0</v>
      </c>
      <c r="AB91" s="28">
        <f>IF(AQ91="1",BH91,0)</f>
        <v>0</v>
      </c>
      <c r="AC91" s="28">
        <f>IF(AQ91="1",BI91,0)</f>
        <v>0</v>
      </c>
      <c r="AD91" s="28">
        <f>IF(AQ91="7",BH91,0)</f>
        <v>0</v>
      </c>
      <c r="AE91" s="28">
        <f>IF(AQ91="7",BI91,0)</f>
        <v>0</v>
      </c>
      <c r="AF91" s="28">
        <f>IF(AQ91="2",BH91,0)</f>
        <v>0</v>
      </c>
      <c r="AG91" s="28">
        <f>IF(AQ91="2",BI91,0)</f>
        <v>0</v>
      </c>
      <c r="AH91" s="28">
        <f>IF(AQ91="0",BJ91,0)</f>
        <v>0</v>
      </c>
      <c r="AI91" s="27"/>
      <c r="AJ91" s="17">
        <f>IF(AN91=0,L91,0)</f>
        <v>0</v>
      </c>
      <c r="AK91" s="17">
        <f>IF(AN91=15,L91,0)</f>
        <v>0</v>
      </c>
      <c r="AL91" s="17">
        <f>IF(AN91=21,L91,0)</f>
        <v>0</v>
      </c>
      <c r="AN91" s="28">
        <v>21</v>
      </c>
      <c r="AO91" s="28">
        <f>I91*0.340796645702306</f>
        <v>0</v>
      </c>
      <c r="AP91" s="28">
        <f>I91*(1-0.340796645702306)</f>
        <v>0</v>
      </c>
      <c r="AQ91" s="29" t="s">
        <v>13</v>
      </c>
      <c r="AV91" s="28">
        <f>AW91+AX91</f>
        <v>0</v>
      </c>
      <c r="AW91" s="28">
        <f>H91*AO91</f>
        <v>0</v>
      </c>
      <c r="AX91" s="28">
        <f>H91*AP91</f>
        <v>0</v>
      </c>
      <c r="AY91" s="31" t="s">
        <v>638</v>
      </c>
      <c r="AZ91" s="31" t="s">
        <v>662</v>
      </c>
      <c r="BA91" s="27" t="s">
        <v>669</v>
      </c>
      <c r="BC91" s="28">
        <f>AW91+AX91</f>
        <v>0</v>
      </c>
      <c r="BD91" s="28">
        <f>I91/(100-BE91)*100</f>
        <v>0</v>
      </c>
      <c r="BE91" s="28">
        <v>0</v>
      </c>
      <c r="BF91" s="28">
        <f>91</f>
        <v>91</v>
      </c>
      <c r="BH91" s="17">
        <f>H91*AO91</f>
        <v>0</v>
      </c>
      <c r="BI91" s="17">
        <f>H91*AP91</f>
        <v>0</v>
      </c>
      <c r="BJ91" s="17">
        <f>H91*I91</f>
        <v>0</v>
      </c>
      <c r="BK91" s="17" t="s">
        <v>674</v>
      </c>
      <c r="BL91" s="28">
        <v>721</v>
      </c>
    </row>
    <row r="92" spans="1:64" ht="12.75">
      <c r="A92" s="75" t="s">
        <v>31</v>
      </c>
      <c r="B92" s="75" t="s">
        <v>170</v>
      </c>
      <c r="C92" s="123" t="s">
        <v>368</v>
      </c>
      <c r="D92" s="107"/>
      <c r="E92" s="107"/>
      <c r="F92" s="124"/>
      <c r="G92" s="75" t="s">
        <v>598</v>
      </c>
      <c r="H92" s="76">
        <v>20</v>
      </c>
      <c r="I92" s="95">
        <v>0</v>
      </c>
      <c r="J92" s="76">
        <f>H92*AO92</f>
        <v>0</v>
      </c>
      <c r="K92" s="76">
        <f>H92*AP92</f>
        <v>0</v>
      </c>
      <c r="L92" s="76">
        <f>H92*I92</f>
        <v>0</v>
      </c>
      <c r="M92" s="77" t="s">
        <v>618</v>
      </c>
      <c r="N92" s="63"/>
      <c r="Z92" s="28">
        <f>IF(AQ92="5",BJ92,0)</f>
        <v>0</v>
      </c>
      <c r="AB92" s="28">
        <f>IF(AQ92="1",BH92,0)</f>
        <v>0</v>
      </c>
      <c r="AC92" s="28">
        <f>IF(AQ92="1",BI92,0)</f>
        <v>0</v>
      </c>
      <c r="AD92" s="28">
        <f>IF(AQ92="7",BH92,0)</f>
        <v>0</v>
      </c>
      <c r="AE92" s="28">
        <f>IF(AQ92="7",BI92,0)</f>
        <v>0</v>
      </c>
      <c r="AF92" s="28">
        <f>IF(AQ92="2",BH92,0)</f>
        <v>0</v>
      </c>
      <c r="AG92" s="28">
        <f>IF(AQ92="2",BI92,0)</f>
        <v>0</v>
      </c>
      <c r="AH92" s="28">
        <f>IF(AQ92="0",BJ92,0)</f>
        <v>0</v>
      </c>
      <c r="AI92" s="27"/>
      <c r="AJ92" s="17">
        <f>IF(AN92=0,L92,0)</f>
        <v>0</v>
      </c>
      <c r="AK92" s="17">
        <f>IF(AN92=15,L92,0)</f>
        <v>0</v>
      </c>
      <c r="AL92" s="17">
        <f>IF(AN92=21,L92,0)</f>
        <v>0</v>
      </c>
      <c r="AN92" s="28">
        <v>21</v>
      </c>
      <c r="AO92" s="28">
        <f>I92*0.328076190476191</f>
        <v>0</v>
      </c>
      <c r="AP92" s="28">
        <f>I92*(1-0.328076190476191)</f>
        <v>0</v>
      </c>
      <c r="AQ92" s="29" t="s">
        <v>13</v>
      </c>
      <c r="AV92" s="28">
        <f>AW92+AX92</f>
        <v>0</v>
      </c>
      <c r="AW92" s="28">
        <f>H92*AO92</f>
        <v>0</v>
      </c>
      <c r="AX92" s="28">
        <f>H92*AP92</f>
        <v>0</v>
      </c>
      <c r="AY92" s="31" t="s">
        <v>638</v>
      </c>
      <c r="AZ92" s="31" t="s">
        <v>662</v>
      </c>
      <c r="BA92" s="27" t="s">
        <v>669</v>
      </c>
      <c r="BC92" s="28">
        <f>AW92+AX92</f>
        <v>0</v>
      </c>
      <c r="BD92" s="28">
        <f>I92/(100-BE92)*100</f>
        <v>0</v>
      </c>
      <c r="BE92" s="28">
        <v>0</v>
      </c>
      <c r="BF92" s="28">
        <f>92</f>
        <v>92</v>
      </c>
      <c r="BH92" s="17">
        <f>H92*AO92</f>
        <v>0</v>
      </c>
      <c r="BI92" s="17">
        <f>H92*AP92</f>
        <v>0</v>
      </c>
      <c r="BJ92" s="17">
        <f>H92*I92</f>
        <v>0</v>
      </c>
      <c r="BK92" s="17" t="s">
        <v>674</v>
      </c>
      <c r="BL92" s="28">
        <v>721</v>
      </c>
    </row>
    <row r="93" spans="1:64" ht="12.75">
      <c r="A93" s="75" t="s">
        <v>32</v>
      </c>
      <c r="B93" s="75" t="s">
        <v>171</v>
      </c>
      <c r="C93" s="123" t="s">
        <v>369</v>
      </c>
      <c r="D93" s="107"/>
      <c r="E93" s="107"/>
      <c r="F93" s="124"/>
      <c r="G93" s="75" t="s">
        <v>598</v>
      </c>
      <c r="H93" s="76">
        <v>10</v>
      </c>
      <c r="I93" s="95">
        <v>0</v>
      </c>
      <c r="J93" s="76">
        <f>H93*AO93</f>
        <v>0</v>
      </c>
      <c r="K93" s="76">
        <f>H93*AP93</f>
        <v>0</v>
      </c>
      <c r="L93" s="76">
        <f>H93*I93</f>
        <v>0</v>
      </c>
      <c r="M93" s="77" t="s">
        <v>618</v>
      </c>
      <c r="N93" s="63"/>
      <c r="Z93" s="28">
        <f>IF(AQ93="5",BJ93,0)</f>
        <v>0</v>
      </c>
      <c r="AB93" s="28">
        <f>IF(AQ93="1",BH93,0)</f>
        <v>0</v>
      </c>
      <c r="AC93" s="28">
        <f>IF(AQ93="1",BI93,0)</f>
        <v>0</v>
      </c>
      <c r="AD93" s="28">
        <f>IF(AQ93="7",BH93,0)</f>
        <v>0</v>
      </c>
      <c r="AE93" s="28">
        <f>IF(AQ93="7",BI93,0)</f>
        <v>0</v>
      </c>
      <c r="AF93" s="28">
        <f>IF(AQ93="2",BH93,0)</f>
        <v>0</v>
      </c>
      <c r="AG93" s="28">
        <f>IF(AQ93="2",BI93,0)</f>
        <v>0</v>
      </c>
      <c r="AH93" s="28">
        <f>IF(AQ93="0",BJ93,0)</f>
        <v>0</v>
      </c>
      <c r="AI93" s="27"/>
      <c r="AJ93" s="17">
        <f>IF(AN93=0,L93,0)</f>
        <v>0</v>
      </c>
      <c r="AK93" s="17">
        <f>IF(AN93=15,L93,0)</f>
        <v>0</v>
      </c>
      <c r="AL93" s="17">
        <f>IF(AN93=21,L93,0)</f>
        <v>0</v>
      </c>
      <c r="AN93" s="28">
        <v>21</v>
      </c>
      <c r="AO93" s="28">
        <f>I93*0.310095808383234</f>
        <v>0</v>
      </c>
      <c r="AP93" s="28">
        <f>I93*(1-0.310095808383234)</f>
        <v>0</v>
      </c>
      <c r="AQ93" s="29" t="s">
        <v>13</v>
      </c>
      <c r="AV93" s="28">
        <f>AW93+AX93</f>
        <v>0</v>
      </c>
      <c r="AW93" s="28">
        <f>H93*AO93</f>
        <v>0</v>
      </c>
      <c r="AX93" s="28">
        <f>H93*AP93</f>
        <v>0</v>
      </c>
      <c r="AY93" s="31" t="s">
        <v>638</v>
      </c>
      <c r="AZ93" s="31" t="s">
        <v>662</v>
      </c>
      <c r="BA93" s="27" t="s">
        <v>669</v>
      </c>
      <c r="BC93" s="28">
        <f>AW93+AX93</f>
        <v>0</v>
      </c>
      <c r="BD93" s="28">
        <f>I93/(100-BE93)*100</f>
        <v>0</v>
      </c>
      <c r="BE93" s="28">
        <v>0</v>
      </c>
      <c r="BF93" s="28">
        <f>93</f>
        <v>93</v>
      </c>
      <c r="BH93" s="17">
        <f>H93*AO93</f>
        <v>0</v>
      </c>
      <c r="BI93" s="17">
        <f>H93*AP93</f>
        <v>0</v>
      </c>
      <c r="BJ93" s="17">
        <f>H93*I93</f>
        <v>0</v>
      </c>
      <c r="BK93" s="17" t="s">
        <v>674</v>
      </c>
      <c r="BL93" s="28">
        <v>721</v>
      </c>
    </row>
    <row r="94" spans="1:64" ht="12.75">
      <c r="A94" s="78" t="s">
        <v>33</v>
      </c>
      <c r="B94" s="78" t="s">
        <v>172</v>
      </c>
      <c r="C94" s="125" t="s">
        <v>370</v>
      </c>
      <c r="D94" s="107"/>
      <c r="E94" s="107"/>
      <c r="F94" s="126"/>
      <c r="G94" s="78" t="s">
        <v>597</v>
      </c>
      <c r="H94" s="79">
        <v>4</v>
      </c>
      <c r="I94" s="89">
        <v>0</v>
      </c>
      <c r="J94" s="79">
        <f>H94*AO94</f>
        <v>0</v>
      </c>
      <c r="K94" s="79">
        <f>H94*AP94</f>
        <v>0</v>
      </c>
      <c r="L94" s="79">
        <f>H94*I94</f>
        <v>0</v>
      </c>
      <c r="M94" s="80" t="s">
        <v>618</v>
      </c>
      <c r="N94" s="63"/>
      <c r="Z94" s="28">
        <f>IF(AQ94="5",BJ94,0)</f>
        <v>0</v>
      </c>
      <c r="AB94" s="28">
        <f>IF(AQ94="1",BH94,0)</f>
        <v>0</v>
      </c>
      <c r="AC94" s="28">
        <f>IF(AQ94="1",BI94,0)</f>
        <v>0</v>
      </c>
      <c r="AD94" s="28">
        <f>IF(AQ94="7",BH94,0)</f>
        <v>0</v>
      </c>
      <c r="AE94" s="28">
        <f>IF(AQ94="7",BI94,0)</f>
        <v>0</v>
      </c>
      <c r="AF94" s="28">
        <f>IF(AQ94="2",BH94,0)</f>
        <v>0</v>
      </c>
      <c r="AG94" s="28">
        <f>IF(AQ94="2",BI94,0)</f>
        <v>0</v>
      </c>
      <c r="AH94" s="28">
        <f>IF(AQ94="0",BJ94,0)</f>
        <v>0</v>
      </c>
      <c r="AI94" s="27"/>
      <c r="AJ94" s="17">
        <f>IF(AN94=0,L94,0)</f>
        <v>0</v>
      </c>
      <c r="AK94" s="17">
        <f>IF(AN94=15,L94,0)</f>
        <v>0</v>
      </c>
      <c r="AL94" s="17">
        <f>IF(AN94=21,L94,0)</f>
        <v>0</v>
      </c>
      <c r="AN94" s="28">
        <v>21</v>
      </c>
      <c r="AO94" s="28">
        <f>I94*0.84990682186173</f>
        <v>0</v>
      </c>
      <c r="AP94" s="28">
        <f>I94*(1-0.84990682186173)</f>
        <v>0</v>
      </c>
      <c r="AQ94" s="29" t="s">
        <v>13</v>
      </c>
      <c r="AV94" s="28">
        <f>AW94+AX94</f>
        <v>0</v>
      </c>
      <c r="AW94" s="28">
        <f>H94*AO94</f>
        <v>0</v>
      </c>
      <c r="AX94" s="28">
        <f>H94*AP94</f>
        <v>0</v>
      </c>
      <c r="AY94" s="31" t="s">
        <v>638</v>
      </c>
      <c r="AZ94" s="31" t="s">
        <v>662</v>
      </c>
      <c r="BA94" s="27" t="s">
        <v>669</v>
      </c>
      <c r="BC94" s="28">
        <f>AW94+AX94</f>
        <v>0</v>
      </c>
      <c r="BD94" s="28">
        <f>I94/(100-BE94)*100</f>
        <v>0</v>
      </c>
      <c r="BE94" s="28">
        <v>0</v>
      </c>
      <c r="BF94" s="28">
        <f>94</f>
        <v>94</v>
      </c>
      <c r="BH94" s="17">
        <f>H94*AO94</f>
        <v>0</v>
      </c>
      <c r="BI94" s="17">
        <f>H94*AP94</f>
        <v>0</v>
      </c>
      <c r="BJ94" s="17">
        <f>H94*I94</f>
        <v>0</v>
      </c>
      <c r="BK94" s="17" t="s">
        <v>674</v>
      </c>
      <c r="BL94" s="28">
        <v>721</v>
      </c>
    </row>
    <row r="95" spans="1:14" ht="12.75">
      <c r="A95" s="4"/>
      <c r="B95" s="13" t="s">
        <v>143</v>
      </c>
      <c r="C95" s="120" t="s">
        <v>371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2"/>
      <c r="N95" s="4"/>
    </row>
    <row r="96" spans="1:64" ht="12.75">
      <c r="A96" s="78" t="s">
        <v>34</v>
      </c>
      <c r="B96" s="78" t="s">
        <v>173</v>
      </c>
      <c r="C96" s="125" t="s">
        <v>372</v>
      </c>
      <c r="D96" s="107"/>
      <c r="E96" s="107"/>
      <c r="F96" s="126"/>
      <c r="G96" s="78" t="s">
        <v>598</v>
      </c>
      <c r="H96" s="79">
        <v>100</v>
      </c>
      <c r="I96" s="89">
        <v>0</v>
      </c>
      <c r="J96" s="79">
        <f>H96*AO96</f>
        <v>0</v>
      </c>
      <c r="K96" s="79">
        <f>H96*AP96</f>
        <v>0</v>
      </c>
      <c r="L96" s="79">
        <f>H96*I96</f>
        <v>0</v>
      </c>
      <c r="M96" s="80" t="s">
        <v>618</v>
      </c>
      <c r="N96" s="63"/>
      <c r="Z96" s="28">
        <f>IF(AQ96="5",BJ96,0)</f>
        <v>0</v>
      </c>
      <c r="AB96" s="28">
        <f>IF(AQ96="1",BH96,0)</f>
        <v>0</v>
      </c>
      <c r="AC96" s="28">
        <f>IF(AQ96="1",BI96,0)</f>
        <v>0</v>
      </c>
      <c r="AD96" s="28">
        <f>IF(AQ96="7",BH96,0)</f>
        <v>0</v>
      </c>
      <c r="AE96" s="28">
        <f>IF(AQ96="7",BI96,0)</f>
        <v>0</v>
      </c>
      <c r="AF96" s="28">
        <f>IF(AQ96="2",BH96,0)</f>
        <v>0</v>
      </c>
      <c r="AG96" s="28">
        <f>IF(AQ96="2",BI96,0)</f>
        <v>0</v>
      </c>
      <c r="AH96" s="28">
        <f>IF(AQ96="0",BJ96,0)</f>
        <v>0</v>
      </c>
      <c r="AI96" s="27"/>
      <c r="AJ96" s="17">
        <f>IF(AN96=0,L96,0)</f>
        <v>0</v>
      </c>
      <c r="AK96" s="17">
        <f>IF(AN96=15,L96,0)</f>
        <v>0</v>
      </c>
      <c r="AL96" s="17">
        <f>IF(AN96=21,L96,0)</f>
        <v>0</v>
      </c>
      <c r="AN96" s="28">
        <v>21</v>
      </c>
      <c r="AO96" s="28">
        <f>I96*0</f>
        <v>0</v>
      </c>
      <c r="AP96" s="28">
        <f>I96*(1-0)</f>
        <v>0</v>
      </c>
      <c r="AQ96" s="29" t="s">
        <v>13</v>
      </c>
      <c r="AV96" s="28">
        <f>AW96+AX96</f>
        <v>0</v>
      </c>
      <c r="AW96" s="28">
        <f>H96*AO96</f>
        <v>0</v>
      </c>
      <c r="AX96" s="28">
        <f>H96*AP96</f>
        <v>0</v>
      </c>
      <c r="AY96" s="31" t="s">
        <v>638</v>
      </c>
      <c r="AZ96" s="31" t="s">
        <v>662</v>
      </c>
      <c r="BA96" s="27" t="s">
        <v>669</v>
      </c>
      <c r="BC96" s="28">
        <f>AW96+AX96</f>
        <v>0</v>
      </c>
      <c r="BD96" s="28">
        <f>I96/(100-BE96)*100</f>
        <v>0</v>
      </c>
      <c r="BE96" s="28">
        <v>0</v>
      </c>
      <c r="BF96" s="28">
        <f>96</f>
        <v>96</v>
      </c>
      <c r="BH96" s="17">
        <f>H96*AO96</f>
        <v>0</v>
      </c>
      <c r="BI96" s="17">
        <f>H96*AP96</f>
        <v>0</v>
      </c>
      <c r="BJ96" s="17">
        <f>H96*I96</f>
        <v>0</v>
      </c>
      <c r="BK96" s="17" t="s">
        <v>674</v>
      </c>
      <c r="BL96" s="28">
        <v>721</v>
      </c>
    </row>
    <row r="97" spans="1:47" ht="12.75">
      <c r="A97" s="69"/>
      <c r="B97" s="70" t="s">
        <v>174</v>
      </c>
      <c r="C97" s="108" t="s">
        <v>373</v>
      </c>
      <c r="D97" s="109"/>
      <c r="E97" s="109"/>
      <c r="F97" s="109"/>
      <c r="G97" s="71" t="s">
        <v>6</v>
      </c>
      <c r="H97" s="71" t="s">
        <v>6</v>
      </c>
      <c r="I97" s="94" t="s">
        <v>6</v>
      </c>
      <c r="J97" s="72">
        <f>SUM(J98:J106)</f>
        <v>0</v>
      </c>
      <c r="K97" s="72">
        <f>SUM(K98:K106)</f>
        <v>0</v>
      </c>
      <c r="L97" s="72">
        <f>SUM(L98:L106)</f>
        <v>0</v>
      </c>
      <c r="M97" s="73"/>
      <c r="N97" s="4"/>
      <c r="AI97" s="27"/>
      <c r="AS97" s="33">
        <f>SUM(AJ98:AJ106)</f>
        <v>0</v>
      </c>
      <c r="AT97" s="33">
        <f>SUM(AK98:AK106)</f>
        <v>0</v>
      </c>
      <c r="AU97" s="33">
        <f>SUM(AL98:AL106)</f>
        <v>0</v>
      </c>
    </row>
    <row r="98" spans="1:64" ht="12.75">
      <c r="A98" s="75" t="s">
        <v>35</v>
      </c>
      <c r="B98" s="75" t="s">
        <v>175</v>
      </c>
      <c r="C98" s="123" t="s">
        <v>374</v>
      </c>
      <c r="D98" s="107"/>
      <c r="E98" s="107"/>
      <c r="F98" s="124"/>
      <c r="G98" s="75" t="s">
        <v>598</v>
      </c>
      <c r="H98" s="76">
        <v>100</v>
      </c>
      <c r="I98" s="95">
        <v>0</v>
      </c>
      <c r="J98" s="76">
        <f>H98*AO98</f>
        <v>0</v>
      </c>
      <c r="K98" s="76">
        <f>H98*AP98</f>
        <v>0</v>
      </c>
      <c r="L98" s="76">
        <f>H98*I98</f>
        <v>0</v>
      </c>
      <c r="M98" s="77" t="s">
        <v>618</v>
      </c>
      <c r="N98" s="63"/>
      <c r="Z98" s="28">
        <f>IF(AQ98="5",BJ98,0)</f>
        <v>0</v>
      </c>
      <c r="AB98" s="28">
        <f>IF(AQ98="1",BH98,0)</f>
        <v>0</v>
      </c>
      <c r="AC98" s="28">
        <f>IF(AQ98="1",BI98,0)</f>
        <v>0</v>
      </c>
      <c r="AD98" s="28">
        <f>IF(AQ98="7",BH98,0)</f>
        <v>0</v>
      </c>
      <c r="AE98" s="28">
        <f>IF(AQ98="7",BI98,0)</f>
        <v>0</v>
      </c>
      <c r="AF98" s="28">
        <f>IF(AQ98="2",BH98,0)</f>
        <v>0</v>
      </c>
      <c r="AG98" s="28">
        <f>IF(AQ98="2",BI98,0)</f>
        <v>0</v>
      </c>
      <c r="AH98" s="28">
        <f>IF(AQ98="0",BJ98,0)</f>
        <v>0</v>
      </c>
      <c r="AI98" s="27"/>
      <c r="AJ98" s="17">
        <f>IF(AN98=0,L98,0)</f>
        <v>0</v>
      </c>
      <c r="AK98" s="17">
        <f>IF(AN98=15,L98,0)</f>
        <v>0</v>
      </c>
      <c r="AL98" s="17">
        <f>IF(AN98=21,L98,0)</f>
        <v>0</v>
      </c>
      <c r="AN98" s="28">
        <v>21</v>
      </c>
      <c r="AO98" s="28">
        <f>I98*0</f>
        <v>0</v>
      </c>
      <c r="AP98" s="28">
        <f>I98*(1-0)</f>
        <v>0</v>
      </c>
      <c r="AQ98" s="29" t="s">
        <v>13</v>
      </c>
      <c r="AV98" s="28">
        <f>AW98+AX98</f>
        <v>0</v>
      </c>
      <c r="AW98" s="28">
        <f>H98*AO98</f>
        <v>0</v>
      </c>
      <c r="AX98" s="28">
        <f>H98*AP98</f>
        <v>0</v>
      </c>
      <c r="AY98" s="31" t="s">
        <v>639</v>
      </c>
      <c r="AZ98" s="31" t="s">
        <v>662</v>
      </c>
      <c r="BA98" s="27" t="s">
        <v>669</v>
      </c>
      <c r="BC98" s="28">
        <f>AW98+AX98</f>
        <v>0</v>
      </c>
      <c r="BD98" s="28">
        <f>I98/(100-BE98)*100</f>
        <v>0</v>
      </c>
      <c r="BE98" s="28">
        <v>0</v>
      </c>
      <c r="BF98" s="28">
        <f>98</f>
        <v>98</v>
      </c>
      <c r="BH98" s="17">
        <f>H98*AO98</f>
        <v>0</v>
      </c>
      <c r="BI98" s="17">
        <f>H98*AP98</f>
        <v>0</v>
      </c>
      <c r="BJ98" s="17">
        <f>H98*I98</f>
        <v>0</v>
      </c>
      <c r="BK98" s="17" t="s">
        <v>674</v>
      </c>
      <c r="BL98" s="28">
        <v>722</v>
      </c>
    </row>
    <row r="99" spans="1:64" ht="12.75">
      <c r="A99" s="78" t="s">
        <v>36</v>
      </c>
      <c r="B99" s="78" t="s">
        <v>176</v>
      </c>
      <c r="C99" s="125" t="s">
        <v>375</v>
      </c>
      <c r="D99" s="107"/>
      <c r="E99" s="107"/>
      <c r="F99" s="126"/>
      <c r="G99" s="78" t="s">
        <v>598</v>
      </c>
      <c r="H99" s="79">
        <v>80</v>
      </c>
      <c r="I99" s="89">
        <v>0</v>
      </c>
      <c r="J99" s="79">
        <f>H99*AO99</f>
        <v>0</v>
      </c>
      <c r="K99" s="79">
        <f>H99*AP99</f>
        <v>0</v>
      </c>
      <c r="L99" s="79">
        <f>H99*I99</f>
        <v>0</v>
      </c>
      <c r="M99" s="80" t="s">
        <v>618</v>
      </c>
      <c r="N99" s="63"/>
      <c r="Z99" s="28">
        <f>IF(AQ99="5",BJ99,0)</f>
        <v>0</v>
      </c>
      <c r="AB99" s="28">
        <f>IF(AQ99="1",BH99,0)</f>
        <v>0</v>
      </c>
      <c r="AC99" s="28">
        <f>IF(AQ99="1",BI99,0)</f>
        <v>0</v>
      </c>
      <c r="AD99" s="28">
        <f>IF(AQ99="7",BH99,0)</f>
        <v>0</v>
      </c>
      <c r="AE99" s="28">
        <f>IF(AQ99="7",BI99,0)</f>
        <v>0</v>
      </c>
      <c r="AF99" s="28">
        <f>IF(AQ99="2",BH99,0)</f>
        <v>0</v>
      </c>
      <c r="AG99" s="28">
        <f>IF(AQ99="2",BI99,0)</f>
        <v>0</v>
      </c>
      <c r="AH99" s="28">
        <f>IF(AQ99="0",BJ99,0)</f>
        <v>0</v>
      </c>
      <c r="AI99" s="27"/>
      <c r="AJ99" s="17">
        <f>IF(AN99=0,L99,0)</f>
        <v>0</v>
      </c>
      <c r="AK99" s="17">
        <f>IF(AN99=15,L99,0)</f>
        <v>0</v>
      </c>
      <c r="AL99" s="17">
        <f>IF(AN99=21,L99,0)</f>
        <v>0</v>
      </c>
      <c r="AN99" s="28">
        <v>21</v>
      </c>
      <c r="AO99" s="28">
        <f>I99*0.205761316872428</f>
        <v>0</v>
      </c>
      <c r="AP99" s="28">
        <f>I99*(1-0.205761316872428)</f>
        <v>0</v>
      </c>
      <c r="AQ99" s="29" t="s">
        <v>13</v>
      </c>
      <c r="AV99" s="28">
        <f>AW99+AX99</f>
        <v>0</v>
      </c>
      <c r="AW99" s="28">
        <f>H99*AO99</f>
        <v>0</v>
      </c>
      <c r="AX99" s="28">
        <f>H99*AP99</f>
        <v>0</v>
      </c>
      <c r="AY99" s="31" t="s">
        <v>639</v>
      </c>
      <c r="AZ99" s="31" t="s">
        <v>662</v>
      </c>
      <c r="BA99" s="27" t="s">
        <v>669</v>
      </c>
      <c r="BC99" s="28">
        <f>AW99+AX99</f>
        <v>0</v>
      </c>
      <c r="BD99" s="28">
        <f>I99/(100-BE99)*100</f>
        <v>0</v>
      </c>
      <c r="BE99" s="28">
        <v>0</v>
      </c>
      <c r="BF99" s="28">
        <f>99</f>
        <v>99</v>
      </c>
      <c r="BH99" s="17">
        <f>H99*AO99</f>
        <v>0</v>
      </c>
      <c r="BI99" s="17">
        <f>H99*AP99</f>
        <v>0</v>
      </c>
      <c r="BJ99" s="17">
        <f>H99*I99</f>
        <v>0</v>
      </c>
      <c r="BK99" s="17" t="s">
        <v>674</v>
      </c>
      <c r="BL99" s="28">
        <v>722</v>
      </c>
    </row>
    <row r="100" spans="1:14" ht="12.75">
      <c r="A100" s="4"/>
      <c r="B100" s="13" t="s">
        <v>143</v>
      </c>
      <c r="C100" s="120" t="s">
        <v>376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2"/>
      <c r="N100" s="4"/>
    </row>
    <row r="101" spans="1:14" ht="12.75">
      <c r="A101" s="4"/>
      <c r="B101" s="13" t="s">
        <v>144</v>
      </c>
      <c r="C101" s="115" t="s">
        <v>377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4"/>
    </row>
    <row r="102" spans="1:64" ht="12.75">
      <c r="A102" s="78" t="s">
        <v>37</v>
      </c>
      <c r="B102" s="78" t="s">
        <v>177</v>
      </c>
      <c r="C102" s="125" t="s">
        <v>375</v>
      </c>
      <c r="D102" s="107"/>
      <c r="E102" s="107"/>
      <c r="F102" s="126"/>
      <c r="G102" s="78" t="s">
        <v>598</v>
      </c>
      <c r="H102" s="79">
        <v>20</v>
      </c>
      <c r="I102" s="89">
        <v>0</v>
      </c>
      <c r="J102" s="79">
        <f>H102*AO102</f>
        <v>0</v>
      </c>
      <c r="K102" s="79">
        <f>H102*AP102</f>
        <v>0</v>
      </c>
      <c r="L102" s="79">
        <f>H102*I102</f>
        <v>0</v>
      </c>
      <c r="M102" s="80" t="s">
        <v>618</v>
      </c>
      <c r="N102" s="63"/>
      <c r="Z102" s="28">
        <f>IF(AQ102="5",BJ102,0)</f>
        <v>0</v>
      </c>
      <c r="AB102" s="28">
        <f>IF(AQ102="1",BH102,0)</f>
        <v>0</v>
      </c>
      <c r="AC102" s="28">
        <f>IF(AQ102="1",BI102,0)</f>
        <v>0</v>
      </c>
      <c r="AD102" s="28">
        <f>IF(AQ102="7",BH102,0)</f>
        <v>0</v>
      </c>
      <c r="AE102" s="28">
        <f>IF(AQ102="7",BI102,0)</f>
        <v>0</v>
      </c>
      <c r="AF102" s="28">
        <f>IF(AQ102="2",BH102,0)</f>
        <v>0</v>
      </c>
      <c r="AG102" s="28">
        <f>IF(AQ102="2",BI102,0)</f>
        <v>0</v>
      </c>
      <c r="AH102" s="28">
        <f>IF(AQ102="0",BJ102,0)</f>
        <v>0</v>
      </c>
      <c r="AI102" s="27"/>
      <c r="AJ102" s="17">
        <f>IF(AN102=0,L102,0)</f>
        <v>0</v>
      </c>
      <c r="AK102" s="17">
        <f>IF(AN102=15,L102,0)</f>
        <v>0</v>
      </c>
      <c r="AL102" s="17">
        <f>IF(AN102=21,L102,0)</f>
        <v>0</v>
      </c>
      <c r="AN102" s="28">
        <v>21</v>
      </c>
      <c r="AO102" s="28">
        <f>I102*0.230984042553192</f>
        <v>0</v>
      </c>
      <c r="AP102" s="28">
        <f>I102*(1-0.230984042553192)</f>
        <v>0</v>
      </c>
      <c r="AQ102" s="29" t="s">
        <v>13</v>
      </c>
      <c r="AV102" s="28">
        <f>AW102+AX102</f>
        <v>0</v>
      </c>
      <c r="AW102" s="28">
        <f>H102*AO102</f>
        <v>0</v>
      </c>
      <c r="AX102" s="28">
        <f>H102*AP102</f>
        <v>0</v>
      </c>
      <c r="AY102" s="31" t="s">
        <v>639</v>
      </c>
      <c r="AZ102" s="31" t="s">
        <v>662</v>
      </c>
      <c r="BA102" s="27" t="s">
        <v>669</v>
      </c>
      <c r="BC102" s="28">
        <f>AW102+AX102</f>
        <v>0</v>
      </c>
      <c r="BD102" s="28">
        <f>I102/(100-BE102)*100</f>
        <v>0</v>
      </c>
      <c r="BE102" s="28">
        <v>0</v>
      </c>
      <c r="BF102" s="28">
        <f>102</f>
        <v>102</v>
      </c>
      <c r="BH102" s="17">
        <f>H102*AO102</f>
        <v>0</v>
      </c>
      <c r="BI102" s="17">
        <f>H102*AP102</f>
        <v>0</v>
      </c>
      <c r="BJ102" s="17">
        <f>H102*I102</f>
        <v>0</v>
      </c>
      <c r="BK102" s="17" t="s">
        <v>674</v>
      </c>
      <c r="BL102" s="28">
        <v>722</v>
      </c>
    </row>
    <row r="103" spans="1:14" ht="12.75">
      <c r="A103" s="4"/>
      <c r="B103" s="13" t="s">
        <v>143</v>
      </c>
      <c r="C103" s="120" t="s">
        <v>378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2"/>
      <c r="N103" s="4"/>
    </row>
    <row r="104" spans="1:14" ht="12.75">
      <c r="A104" s="4"/>
      <c r="B104" s="13" t="s">
        <v>144</v>
      </c>
      <c r="C104" s="115" t="s">
        <v>377</v>
      </c>
      <c r="D104" s="116"/>
      <c r="E104" s="116"/>
      <c r="F104" s="116"/>
      <c r="G104" s="116"/>
      <c r="H104" s="116"/>
      <c r="I104" s="116"/>
      <c r="J104" s="116"/>
      <c r="K104" s="116"/>
      <c r="L104" s="116"/>
      <c r="M104" s="117"/>
      <c r="N104" s="4"/>
    </row>
    <row r="105" spans="1:64" ht="12.75">
      <c r="A105" s="75" t="s">
        <v>38</v>
      </c>
      <c r="B105" s="75" t="s">
        <v>178</v>
      </c>
      <c r="C105" s="123" t="s">
        <v>379</v>
      </c>
      <c r="D105" s="107"/>
      <c r="E105" s="107"/>
      <c r="F105" s="124"/>
      <c r="G105" s="75" t="s">
        <v>598</v>
      </c>
      <c r="H105" s="76">
        <v>80</v>
      </c>
      <c r="I105" s="95">
        <v>0</v>
      </c>
      <c r="J105" s="76">
        <f>H105*AO105</f>
        <v>0</v>
      </c>
      <c r="K105" s="76">
        <f>H105*AP105</f>
        <v>0</v>
      </c>
      <c r="L105" s="76">
        <f>H105*I105</f>
        <v>0</v>
      </c>
      <c r="M105" s="77" t="s">
        <v>618</v>
      </c>
      <c r="N105" s="63"/>
      <c r="Z105" s="28">
        <f>IF(AQ105="5",BJ105,0)</f>
        <v>0</v>
      </c>
      <c r="AB105" s="28">
        <f>IF(AQ105="1",BH105,0)</f>
        <v>0</v>
      </c>
      <c r="AC105" s="28">
        <f>IF(AQ105="1",BI105,0)</f>
        <v>0</v>
      </c>
      <c r="AD105" s="28">
        <f>IF(AQ105="7",BH105,0)</f>
        <v>0</v>
      </c>
      <c r="AE105" s="28">
        <f>IF(AQ105="7",BI105,0)</f>
        <v>0</v>
      </c>
      <c r="AF105" s="28">
        <f>IF(AQ105="2",BH105,0)</f>
        <v>0</v>
      </c>
      <c r="AG105" s="28">
        <f>IF(AQ105="2",BI105,0)</f>
        <v>0</v>
      </c>
      <c r="AH105" s="28">
        <f>IF(AQ105="0",BJ105,0)</f>
        <v>0</v>
      </c>
      <c r="AI105" s="27"/>
      <c r="AJ105" s="17">
        <f>IF(AN105=0,L105,0)</f>
        <v>0</v>
      </c>
      <c r="AK105" s="17">
        <f>IF(AN105=15,L105,0)</f>
        <v>0</v>
      </c>
      <c r="AL105" s="17">
        <f>IF(AN105=21,L105,0)</f>
        <v>0</v>
      </c>
      <c r="AN105" s="28">
        <v>21</v>
      </c>
      <c r="AO105" s="28">
        <f>I105*0.216018277988169</f>
        <v>0</v>
      </c>
      <c r="AP105" s="28">
        <f>I105*(1-0.216018277988169)</f>
        <v>0</v>
      </c>
      <c r="AQ105" s="29" t="s">
        <v>13</v>
      </c>
      <c r="AV105" s="28">
        <f>AW105+AX105</f>
        <v>0</v>
      </c>
      <c r="AW105" s="28">
        <f>H105*AO105</f>
        <v>0</v>
      </c>
      <c r="AX105" s="28">
        <f>H105*AP105</f>
        <v>0</v>
      </c>
      <c r="AY105" s="31" t="s">
        <v>639</v>
      </c>
      <c r="AZ105" s="31" t="s">
        <v>662</v>
      </c>
      <c r="BA105" s="27" t="s">
        <v>669</v>
      </c>
      <c r="BC105" s="28">
        <f>AW105+AX105</f>
        <v>0</v>
      </c>
      <c r="BD105" s="28">
        <f>I105/(100-BE105)*100</f>
        <v>0</v>
      </c>
      <c r="BE105" s="28">
        <v>0</v>
      </c>
      <c r="BF105" s="28">
        <f>105</f>
        <v>105</v>
      </c>
      <c r="BH105" s="17">
        <f>H105*AO105</f>
        <v>0</v>
      </c>
      <c r="BI105" s="17">
        <f>H105*AP105</f>
        <v>0</v>
      </c>
      <c r="BJ105" s="17">
        <f>H105*I105</f>
        <v>0</v>
      </c>
      <c r="BK105" s="17" t="s">
        <v>674</v>
      </c>
      <c r="BL105" s="28">
        <v>722</v>
      </c>
    </row>
    <row r="106" spans="1:64" ht="12.75">
      <c r="A106" s="78" t="s">
        <v>39</v>
      </c>
      <c r="B106" s="78" t="s">
        <v>179</v>
      </c>
      <c r="C106" s="125" t="s">
        <v>380</v>
      </c>
      <c r="D106" s="107"/>
      <c r="E106" s="107"/>
      <c r="F106" s="126"/>
      <c r="G106" s="78" t="s">
        <v>598</v>
      </c>
      <c r="H106" s="79">
        <v>25</v>
      </c>
      <c r="I106" s="89">
        <v>0</v>
      </c>
      <c r="J106" s="79">
        <f>H106*AO106</f>
        <v>0</v>
      </c>
      <c r="K106" s="79">
        <f>H106*AP106</f>
        <v>0</v>
      </c>
      <c r="L106" s="79">
        <f>H106*I106</f>
        <v>0</v>
      </c>
      <c r="M106" s="80" t="s">
        <v>618</v>
      </c>
      <c r="N106" s="63"/>
      <c r="Z106" s="28">
        <f>IF(AQ106="5",BJ106,0)</f>
        <v>0</v>
      </c>
      <c r="AB106" s="28">
        <f>IF(AQ106="1",BH106,0)</f>
        <v>0</v>
      </c>
      <c r="AC106" s="28">
        <f>IF(AQ106="1",BI106,0)</f>
        <v>0</v>
      </c>
      <c r="AD106" s="28">
        <f>IF(AQ106="7",BH106,0)</f>
        <v>0</v>
      </c>
      <c r="AE106" s="28">
        <f>IF(AQ106="7",BI106,0)</f>
        <v>0</v>
      </c>
      <c r="AF106" s="28">
        <f>IF(AQ106="2",BH106,0)</f>
        <v>0</v>
      </c>
      <c r="AG106" s="28">
        <f>IF(AQ106="2",BI106,0)</f>
        <v>0</v>
      </c>
      <c r="AH106" s="28">
        <f>IF(AQ106="0",BJ106,0)</f>
        <v>0</v>
      </c>
      <c r="AI106" s="27"/>
      <c r="AJ106" s="17">
        <f>IF(AN106=0,L106,0)</f>
        <v>0</v>
      </c>
      <c r="AK106" s="17">
        <f>IF(AN106=15,L106,0)</f>
        <v>0</v>
      </c>
      <c r="AL106" s="17">
        <f>IF(AN106=21,L106,0)</f>
        <v>0</v>
      </c>
      <c r="AN106" s="28">
        <v>21</v>
      </c>
      <c r="AO106" s="28">
        <f>I106*0.240905562742561</f>
        <v>0</v>
      </c>
      <c r="AP106" s="28">
        <f>I106*(1-0.240905562742561)</f>
        <v>0</v>
      </c>
      <c r="AQ106" s="29" t="s">
        <v>13</v>
      </c>
      <c r="AV106" s="28">
        <f>AW106+AX106</f>
        <v>0</v>
      </c>
      <c r="AW106" s="28">
        <f>H106*AO106</f>
        <v>0</v>
      </c>
      <c r="AX106" s="28">
        <f>H106*AP106</f>
        <v>0</v>
      </c>
      <c r="AY106" s="31" t="s">
        <v>639</v>
      </c>
      <c r="AZ106" s="31" t="s">
        <v>662</v>
      </c>
      <c r="BA106" s="27" t="s">
        <v>669</v>
      </c>
      <c r="BC106" s="28">
        <f>AW106+AX106</f>
        <v>0</v>
      </c>
      <c r="BD106" s="28">
        <f>I106/(100-BE106)*100</f>
        <v>0</v>
      </c>
      <c r="BE106" s="28">
        <v>0</v>
      </c>
      <c r="BF106" s="28">
        <f>106</f>
        <v>106</v>
      </c>
      <c r="BH106" s="17">
        <f>H106*AO106</f>
        <v>0</v>
      </c>
      <c r="BI106" s="17">
        <f>H106*AP106</f>
        <v>0</v>
      </c>
      <c r="BJ106" s="17">
        <f>H106*I106</f>
        <v>0</v>
      </c>
      <c r="BK106" s="17" t="s">
        <v>674</v>
      </c>
      <c r="BL106" s="28">
        <v>722</v>
      </c>
    </row>
    <row r="107" spans="1:47" ht="12.75">
      <c r="A107" s="69"/>
      <c r="B107" s="70" t="s">
        <v>180</v>
      </c>
      <c r="C107" s="108" t="s">
        <v>381</v>
      </c>
      <c r="D107" s="109"/>
      <c r="E107" s="109"/>
      <c r="F107" s="109"/>
      <c r="G107" s="71" t="s">
        <v>6</v>
      </c>
      <c r="H107" s="71" t="s">
        <v>6</v>
      </c>
      <c r="I107" s="94" t="s">
        <v>6</v>
      </c>
      <c r="J107" s="72">
        <f>SUM(J108:J140)</f>
        <v>0</v>
      </c>
      <c r="K107" s="72">
        <f>SUM(K108:K140)</f>
        <v>0</v>
      </c>
      <c r="L107" s="72">
        <f>SUM(L108:L140)</f>
        <v>0</v>
      </c>
      <c r="M107" s="73"/>
      <c r="N107" s="4"/>
      <c r="AI107" s="27"/>
      <c r="AS107" s="33">
        <f>SUM(AJ108:AJ140)</f>
        <v>0</v>
      </c>
      <c r="AT107" s="33">
        <f>SUM(AK108:AK140)</f>
        <v>0</v>
      </c>
      <c r="AU107" s="33">
        <f>SUM(AL108:AL140)</f>
        <v>0</v>
      </c>
    </row>
    <row r="108" spans="1:64" ht="12.75">
      <c r="A108" s="75" t="s">
        <v>40</v>
      </c>
      <c r="B108" s="75" t="s">
        <v>181</v>
      </c>
      <c r="C108" s="123" t="s">
        <v>382</v>
      </c>
      <c r="D108" s="107"/>
      <c r="E108" s="107"/>
      <c r="F108" s="124"/>
      <c r="G108" s="75" t="s">
        <v>597</v>
      </c>
      <c r="H108" s="76">
        <v>3</v>
      </c>
      <c r="I108" s="95">
        <v>0</v>
      </c>
      <c r="J108" s="76">
        <f>H108*AO108</f>
        <v>0</v>
      </c>
      <c r="K108" s="76">
        <f>H108*AP108</f>
        <v>0</v>
      </c>
      <c r="L108" s="76">
        <f>H108*I108</f>
        <v>0</v>
      </c>
      <c r="M108" s="77" t="s">
        <v>618</v>
      </c>
      <c r="N108" s="63"/>
      <c r="Z108" s="28">
        <f>IF(AQ108="5",BJ108,0)</f>
        <v>0</v>
      </c>
      <c r="AB108" s="28">
        <f>IF(AQ108="1",BH108,0)</f>
        <v>0</v>
      </c>
      <c r="AC108" s="28">
        <f>IF(AQ108="1",BI108,0)</f>
        <v>0</v>
      </c>
      <c r="AD108" s="28">
        <f>IF(AQ108="7",BH108,0)</f>
        <v>0</v>
      </c>
      <c r="AE108" s="28">
        <f>IF(AQ108="7",BI108,0)</f>
        <v>0</v>
      </c>
      <c r="AF108" s="28">
        <f>IF(AQ108="2",BH108,0)</f>
        <v>0</v>
      </c>
      <c r="AG108" s="28">
        <f>IF(AQ108="2",BI108,0)</f>
        <v>0</v>
      </c>
      <c r="AH108" s="28">
        <f>IF(AQ108="0",BJ108,0)</f>
        <v>0</v>
      </c>
      <c r="AI108" s="27"/>
      <c r="AJ108" s="17">
        <f>IF(AN108=0,L108,0)</f>
        <v>0</v>
      </c>
      <c r="AK108" s="17">
        <f>IF(AN108=15,L108,0)</f>
        <v>0</v>
      </c>
      <c r="AL108" s="17">
        <f>IF(AN108=21,L108,0)</f>
        <v>0</v>
      </c>
      <c r="AN108" s="28">
        <v>21</v>
      </c>
      <c r="AO108" s="28">
        <f>I108*0</f>
        <v>0</v>
      </c>
      <c r="AP108" s="28">
        <f>I108*(1-0)</f>
        <v>0</v>
      </c>
      <c r="AQ108" s="29" t="s">
        <v>13</v>
      </c>
      <c r="AV108" s="28">
        <f>AW108+AX108</f>
        <v>0</v>
      </c>
      <c r="AW108" s="28">
        <f>H108*AO108</f>
        <v>0</v>
      </c>
      <c r="AX108" s="28">
        <f>H108*AP108</f>
        <v>0</v>
      </c>
      <c r="AY108" s="31" t="s">
        <v>640</v>
      </c>
      <c r="AZ108" s="31" t="s">
        <v>662</v>
      </c>
      <c r="BA108" s="27" t="s">
        <v>669</v>
      </c>
      <c r="BC108" s="28">
        <f>AW108+AX108</f>
        <v>0</v>
      </c>
      <c r="BD108" s="28">
        <f>I108/(100-BE108)*100</f>
        <v>0</v>
      </c>
      <c r="BE108" s="28">
        <v>0</v>
      </c>
      <c r="BF108" s="28">
        <f>108</f>
        <v>108</v>
      </c>
      <c r="BH108" s="17">
        <f>H108*AO108</f>
        <v>0</v>
      </c>
      <c r="BI108" s="17">
        <f>H108*AP108</f>
        <v>0</v>
      </c>
      <c r="BJ108" s="17">
        <f>H108*I108</f>
        <v>0</v>
      </c>
      <c r="BK108" s="17" t="s">
        <v>674</v>
      </c>
      <c r="BL108" s="28">
        <v>725</v>
      </c>
    </row>
    <row r="109" spans="1:64" ht="12.75">
      <c r="A109" s="75" t="s">
        <v>41</v>
      </c>
      <c r="B109" s="75" t="s">
        <v>182</v>
      </c>
      <c r="C109" s="123" t="s">
        <v>383</v>
      </c>
      <c r="D109" s="107"/>
      <c r="E109" s="107"/>
      <c r="F109" s="124"/>
      <c r="G109" s="75" t="s">
        <v>597</v>
      </c>
      <c r="H109" s="76">
        <v>5</v>
      </c>
      <c r="I109" s="95">
        <v>0</v>
      </c>
      <c r="J109" s="76">
        <f>H109*AO109</f>
        <v>0</v>
      </c>
      <c r="K109" s="76">
        <f>H109*AP109</f>
        <v>0</v>
      </c>
      <c r="L109" s="76">
        <f>H109*I109</f>
        <v>0</v>
      </c>
      <c r="M109" s="77" t="s">
        <v>618</v>
      </c>
      <c r="N109" s="63"/>
      <c r="Z109" s="28">
        <f>IF(AQ109="5",BJ109,0)</f>
        <v>0</v>
      </c>
      <c r="AB109" s="28">
        <f>IF(AQ109="1",BH109,0)</f>
        <v>0</v>
      </c>
      <c r="AC109" s="28">
        <f>IF(AQ109="1",BI109,0)</f>
        <v>0</v>
      </c>
      <c r="AD109" s="28">
        <f>IF(AQ109="7",BH109,0)</f>
        <v>0</v>
      </c>
      <c r="AE109" s="28">
        <f>IF(AQ109="7",BI109,0)</f>
        <v>0</v>
      </c>
      <c r="AF109" s="28">
        <f>IF(AQ109="2",BH109,0)</f>
        <v>0</v>
      </c>
      <c r="AG109" s="28">
        <f>IF(AQ109="2",BI109,0)</f>
        <v>0</v>
      </c>
      <c r="AH109" s="28">
        <f>IF(AQ109="0",BJ109,0)</f>
        <v>0</v>
      </c>
      <c r="AI109" s="27"/>
      <c r="AJ109" s="17">
        <f>IF(AN109=0,L109,0)</f>
        <v>0</v>
      </c>
      <c r="AK109" s="17">
        <f>IF(AN109=15,L109,0)</f>
        <v>0</v>
      </c>
      <c r="AL109" s="17">
        <f>IF(AN109=21,L109,0)</f>
        <v>0</v>
      </c>
      <c r="AN109" s="28">
        <v>21</v>
      </c>
      <c r="AO109" s="28">
        <f>I109*0</f>
        <v>0</v>
      </c>
      <c r="AP109" s="28">
        <f>I109*(1-0)</f>
        <v>0</v>
      </c>
      <c r="AQ109" s="29" t="s">
        <v>13</v>
      </c>
      <c r="AV109" s="28">
        <f>AW109+AX109</f>
        <v>0</v>
      </c>
      <c r="AW109" s="28">
        <f>H109*AO109</f>
        <v>0</v>
      </c>
      <c r="AX109" s="28">
        <f>H109*AP109</f>
        <v>0</v>
      </c>
      <c r="AY109" s="31" t="s">
        <v>640</v>
      </c>
      <c r="AZ109" s="31" t="s">
        <v>662</v>
      </c>
      <c r="BA109" s="27" t="s">
        <v>669</v>
      </c>
      <c r="BC109" s="28">
        <f>AW109+AX109</f>
        <v>0</v>
      </c>
      <c r="BD109" s="28">
        <f>I109/(100-BE109)*100</f>
        <v>0</v>
      </c>
      <c r="BE109" s="28">
        <v>0</v>
      </c>
      <c r="BF109" s="28">
        <f>109</f>
        <v>109</v>
      </c>
      <c r="BH109" s="17">
        <f>H109*AO109</f>
        <v>0</v>
      </c>
      <c r="BI109" s="17">
        <f>H109*AP109</f>
        <v>0</v>
      </c>
      <c r="BJ109" s="17">
        <f>H109*I109</f>
        <v>0</v>
      </c>
      <c r="BK109" s="17" t="s">
        <v>674</v>
      </c>
      <c r="BL109" s="28">
        <v>725</v>
      </c>
    </row>
    <row r="110" spans="1:64" ht="12.75">
      <c r="A110" s="78" t="s">
        <v>42</v>
      </c>
      <c r="B110" s="78" t="s">
        <v>183</v>
      </c>
      <c r="C110" s="125" t="s">
        <v>384</v>
      </c>
      <c r="D110" s="107"/>
      <c r="E110" s="107"/>
      <c r="F110" s="126"/>
      <c r="G110" s="78" t="s">
        <v>599</v>
      </c>
      <c r="H110" s="79">
        <v>5</v>
      </c>
      <c r="I110" s="89">
        <v>0</v>
      </c>
      <c r="J110" s="79">
        <f>H110*AO110</f>
        <v>0</v>
      </c>
      <c r="K110" s="79">
        <f>H110*AP110</f>
        <v>0</v>
      </c>
      <c r="L110" s="79">
        <f>H110*I110</f>
        <v>0</v>
      </c>
      <c r="M110" s="80" t="s">
        <v>618</v>
      </c>
      <c r="N110" s="63"/>
      <c r="Z110" s="28">
        <f>IF(AQ110="5",BJ110,0)</f>
        <v>0</v>
      </c>
      <c r="AB110" s="28">
        <f>IF(AQ110="1",BH110,0)</f>
        <v>0</v>
      </c>
      <c r="AC110" s="28">
        <f>IF(AQ110="1",BI110,0)</f>
        <v>0</v>
      </c>
      <c r="AD110" s="28">
        <f>IF(AQ110="7",BH110,0)</f>
        <v>0</v>
      </c>
      <c r="AE110" s="28">
        <f>IF(AQ110="7",BI110,0)</f>
        <v>0</v>
      </c>
      <c r="AF110" s="28">
        <f>IF(AQ110="2",BH110,0)</f>
        <v>0</v>
      </c>
      <c r="AG110" s="28">
        <f>IF(AQ110="2",BI110,0)</f>
        <v>0</v>
      </c>
      <c r="AH110" s="28">
        <f>IF(AQ110="0",BJ110,0)</f>
        <v>0</v>
      </c>
      <c r="AI110" s="27"/>
      <c r="AJ110" s="17">
        <f>IF(AN110=0,L110,0)</f>
        <v>0</v>
      </c>
      <c r="AK110" s="17">
        <f>IF(AN110=15,L110,0)</f>
        <v>0</v>
      </c>
      <c r="AL110" s="17">
        <f>IF(AN110=21,L110,0)</f>
        <v>0</v>
      </c>
      <c r="AN110" s="28">
        <v>21</v>
      </c>
      <c r="AO110" s="28">
        <f>I110*0.654150326797386</f>
        <v>0</v>
      </c>
      <c r="AP110" s="28">
        <f>I110*(1-0.654150326797386)</f>
        <v>0</v>
      </c>
      <c r="AQ110" s="29" t="s">
        <v>13</v>
      </c>
      <c r="AV110" s="28">
        <f>AW110+AX110</f>
        <v>0</v>
      </c>
      <c r="AW110" s="28">
        <f>H110*AO110</f>
        <v>0</v>
      </c>
      <c r="AX110" s="28">
        <f>H110*AP110</f>
        <v>0</v>
      </c>
      <c r="AY110" s="31" t="s">
        <v>640</v>
      </c>
      <c r="AZ110" s="31" t="s">
        <v>662</v>
      </c>
      <c r="BA110" s="27" t="s">
        <v>669</v>
      </c>
      <c r="BC110" s="28">
        <f>AW110+AX110</f>
        <v>0</v>
      </c>
      <c r="BD110" s="28">
        <f>I110/(100-BE110)*100</f>
        <v>0</v>
      </c>
      <c r="BE110" s="28">
        <v>0</v>
      </c>
      <c r="BF110" s="28">
        <f>110</f>
        <v>110</v>
      </c>
      <c r="BH110" s="17">
        <f>H110*AO110</f>
        <v>0</v>
      </c>
      <c r="BI110" s="17">
        <f>H110*AP110</f>
        <v>0</v>
      </c>
      <c r="BJ110" s="17">
        <f>H110*I110</f>
        <v>0</v>
      </c>
      <c r="BK110" s="17" t="s">
        <v>674</v>
      </c>
      <c r="BL110" s="28">
        <v>725</v>
      </c>
    </row>
    <row r="111" spans="1:14" ht="12.75">
      <c r="A111" s="4"/>
      <c r="B111" s="13" t="s">
        <v>144</v>
      </c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7"/>
      <c r="N111" s="4"/>
    </row>
    <row r="112" spans="1:14" s="86" customFormat="1" ht="12">
      <c r="A112" s="84"/>
      <c r="B112" s="85" t="s">
        <v>139</v>
      </c>
      <c r="C112" s="103" t="s">
        <v>385</v>
      </c>
      <c r="D112" s="104"/>
      <c r="E112" s="104"/>
      <c r="F112" s="104"/>
      <c r="G112" s="104"/>
      <c r="H112" s="104"/>
      <c r="I112" s="104"/>
      <c r="J112" s="104"/>
      <c r="K112" s="104"/>
      <c r="L112" s="104"/>
      <c r="M112" s="105"/>
      <c r="N112" s="84"/>
    </row>
    <row r="113" spans="1:64" ht="12.75">
      <c r="A113" s="75" t="s">
        <v>43</v>
      </c>
      <c r="B113" s="75" t="s">
        <v>184</v>
      </c>
      <c r="C113" s="123" t="s">
        <v>386</v>
      </c>
      <c r="D113" s="107"/>
      <c r="E113" s="107"/>
      <c r="F113" s="124"/>
      <c r="G113" s="75" t="s">
        <v>599</v>
      </c>
      <c r="H113" s="76">
        <v>29</v>
      </c>
      <c r="I113" s="95">
        <v>0</v>
      </c>
      <c r="J113" s="76">
        <f aca="true" t="shared" si="0" ref="J113:J118">H113*AO113</f>
        <v>0</v>
      </c>
      <c r="K113" s="76">
        <f aca="true" t="shared" si="1" ref="K113:K118">H113*AP113</f>
        <v>0</v>
      </c>
      <c r="L113" s="76">
        <f aca="true" t="shared" si="2" ref="L113:L118">H113*I113</f>
        <v>0</v>
      </c>
      <c r="M113" s="77" t="s">
        <v>618</v>
      </c>
      <c r="N113" s="63"/>
      <c r="Z113" s="28">
        <f aca="true" t="shared" si="3" ref="Z113:Z118">IF(AQ113="5",BJ113,0)</f>
        <v>0</v>
      </c>
      <c r="AB113" s="28">
        <f aca="true" t="shared" si="4" ref="AB113:AB118">IF(AQ113="1",BH113,0)</f>
        <v>0</v>
      </c>
      <c r="AC113" s="28">
        <f aca="true" t="shared" si="5" ref="AC113:AC118">IF(AQ113="1",BI113,0)</f>
        <v>0</v>
      </c>
      <c r="AD113" s="28">
        <f aca="true" t="shared" si="6" ref="AD113:AD118">IF(AQ113="7",BH113,0)</f>
        <v>0</v>
      </c>
      <c r="AE113" s="28">
        <f aca="true" t="shared" si="7" ref="AE113:AE118">IF(AQ113="7",BI113,0)</f>
        <v>0</v>
      </c>
      <c r="AF113" s="28">
        <f aca="true" t="shared" si="8" ref="AF113:AF118">IF(AQ113="2",BH113,0)</f>
        <v>0</v>
      </c>
      <c r="AG113" s="28">
        <f aca="true" t="shared" si="9" ref="AG113:AG118">IF(AQ113="2",BI113,0)</f>
        <v>0</v>
      </c>
      <c r="AH113" s="28">
        <f aca="true" t="shared" si="10" ref="AH113:AH118">IF(AQ113="0",BJ113,0)</f>
        <v>0</v>
      </c>
      <c r="AI113" s="27"/>
      <c r="AJ113" s="17">
        <f aca="true" t="shared" si="11" ref="AJ113:AJ118">IF(AN113=0,L113,0)</f>
        <v>0</v>
      </c>
      <c r="AK113" s="17">
        <f aca="true" t="shared" si="12" ref="AK113:AK118">IF(AN113=15,L113,0)</f>
        <v>0</v>
      </c>
      <c r="AL113" s="17">
        <f aca="true" t="shared" si="13" ref="AL113:AL118">IF(AN113=21,L113,0)</f>
        <v>0</v>
      </c>
      <c r="AN113" s="28">
        <v>21</v>
      </c>
      <c r="AO113" s="28">
        <f>I113*0.100394466359242</f>
        <v>0</v>
      </c>
      <c r="AP113" s="28">
        <f>I113*(1-0.100394466359242)</f>
        <v>0</v>
      </c>
      <c r="AQ113" s="29" t="s">
        <v>13</v>
      </c>
      <c r="AV113" s="28">
        <f aca="true" t="shared" si="14" ref="AV113:AV118">AW113+AX113</f>
        <v>0</v>
      </c>
      <c r="AW113" s="28">
        <f aca="true" t="shared" si="15" ref="AW113:AW118">H113*AO113</f>
        <v>0</v>
      </c>
      <c r="AX113" s="28">
        <f aca="true" t="shared" si="16" ref="AX113:AX118">H113*AP113</f>
        <v>0</v>
      </c>
      <c r="AY113" s="31" t="s">
        <v>640</v>
      </c>
      <c r="AZ113" s="31" t="s">
        <v>662</v>
      </c>
      <c r="BA113" s="27" t="s">
        <v>669</v>
      </c>
      <c r="BC113" s="28">
        <f aca="true" t="shared" si="17" ref="BC113:BC118">AW113+AX113</f>
        <v>0</v>
      </c>
      <c r="BD113" s="28">
        <f aca="true" t="shared" si="18" ref="BD113:BD118">I113/(100-BE113)*100</f>
        <v>0</v>
      </c>
      <c r="BE113" s="28">
        <v>0</v>
      </c>
      <c r="BF113" s="28">
        <f>113</f>
        <v>113</v>
      </c>
      <c r="BH113" s="17">
        <f aca="true" t="shared" si="19" ref="BH113:BH118">H113*AO113</f>
        <v>0</v>
      </c>
      <c r="BI113" s="17">
        <f aca="true" t="shared" si="20" ref="BI113:BI118">H113*AP113</f>
        <v>0</v>
      </c>
      <c r="BJ113" s="17">
        <f aca="true" t="shared" si="21" ref="BJ113:BJ118">H113*I113</f>
        <v>0</v>
      </c>
      <c r="BK113" s="17" t="s">
        <v>674</v>
      </c>
      <c r="BL113" s="28">
        <v>725</v>
      </c>
    </row>
    <row r="114" spans="1:64" ht="12.75">
      <c r="A114" s="75" t="s">
        <v>44</v>
      </c>
      <c r="B114" s="75" t="s">
        <v>185</v>
      </c>
      <c r="C114" s="123" t="s">
        <v>387</v>
      </c>
      <c r="D114" s="107"/>
      <c r="E114" s="107"/>
      <c r="F114" s="124"/>
      <c r="G114" s="75" t="s">
        <v>599</v>
      </c>
      <c r="H114" s="76">
        <v>1</v>
      </c>
      <c r="I114" s="95">
        <v>0</v>
      </c>
      <c r="J114" s="76">
        <f t="shared" si="0"/>
        <v>0</v>
      </c>
      <c r="K114" s="76">
        <f t="shared" si="1"/>
        <v>0</v>
      </c>
      <c r="L114" s="76">
        <f t="shared" si="2"/>
        <v>0</v>
      </c>
      <c r="M114" s="77" t="s">
        <v>618</v>
      </c>
      <c r="N114" s="63"/>
      <c r="Z114" s="28">
        <f t="shared" si="3"/>
        <v>0</v>
      </c>
      <c r="AB114" s="28">
        <f t="shared" si="4"/>
        <v>0</v>
      </c>
      <c r="AC114" s="28">
        <f t="shared" si="5"/>
        <v>0</v>
      </c>
      <c r="AD114" s="28">
        <f t="shared" si="6"/>
        <v>0</v>
      </c>
      <c r="AE114" s="28">
        <f t="shared" si="7"/>
        <v>0</v>
      </c>
      <c r="AF114" s="28">
        <f t="shared" si="8"/>
        <v>0</v>
      </c>
      <c r="AG114" s="28">
        <f t="shared" si="9"/>
        <v>0</v>
      </c>
      <c r="AH114" s="28">
        <f t="shared" si="10"/>
        <v>0</v>
      </c>
      <c r="AI114" s="27"/>
      <c r="AJ114" s="17">
        <f t="shared" si="11"/>
        <v>0</v>
      </c>
      <c r="AK114" s="17">
        <f t="shared" si="12"/>
        <v>0</v>
      </c>
      <c r="AL114" s="17">
        <f t="shared" si="13"/>
        <v>0</v>
      </c>
      <c r="AN114" s="28">
        <v>21</v>
      </c>
      <c r="AO114" s="28">
        <f>I114*0.890039467000117</f>
        <v>0</v>
      </c>
      <c r="AP114" s="28">
        <f>I114*(1-0.890039467000117)</f>
        <v>0</v>
      </c>
      <c r="AQ114" s="29" t="s">
        <v>13</v>
      </c>
      <c r="AV114" s="28">
        <f t="shared" si="14"/>
        <v>0</v>
      </c>
      <c r="AW114" s="28">
        <f t="shared" si="15"/>
        <v>0</v>
      </c>
      <c r="AX114" s="28">
        <f t="shared" si="16"/>
        <v>0</v>
      </c>
      <c r="AY114" s="31" t="s">
        <v>640</v>
      </c>
      <c r="AZ114" s="31" t="s">
        <v>662</v>
      </c>
      <c r="BA114" s="27" t="s">
        <v>669</v>
      </c>
      <c r="BC114" s="28">
        <f t="shared" si="17"/>
        <v>0</v>
      </c>
      <c r="BD114" s="28">
        <f t="shared" si="18"/>
        <v>0</v>
      </c>
      <c r="BE114" s="28">
        <v>0</v>
      </c>
      <c r="BF114" s="28">
        <f>114</f>
        <v>114</v>
      </c>
      <c r="BH114" s="17">
        <f t="shared" si="19"/>
        <v>0</v>
      </c>
      <c r="BI114" s="17">
        <f t="shared" si="20"/>
        <v>0</v>
      </c>
      <c r="BJ114" s="17">
        <f t="shared" si="21"/>
        <v>0</v>
      </c>
      <c r="BK114" s="17" t="s">
        <v>674</v>
      </c>
      <c r="BL114" s="28">
        <v>725</v>
      </c>
    </row>
    <row r="115" spans="1:64" ht="12.75">
      <c r="A115" s="75" t="s">
        <v>45</v>
      </c>
      <c r="B115" s="75" t="s">
        <v>186</v>
      </c>
      <c r="C115" s="123" t="s">
        <v>388</v>
      </c>
      <c r="D115" s="107"/>
      <c r="E115" s="107"/>
      <c r="F115" s="124"/>
      <c r="G115" s="75" t="s">
        <v>599</v>
      </c>
      <c r="H115" s="76">
        <v>3</v>
      </c>
      <c r="I115" s="95">
        <v>0</v>
      </c>
      <c r="J115" s="76">
        <f t="shared" si="0"/>
        <v>0</v>
      </c>
      <c r="K115" s="76">
        <f t="shared" si="1"/>
        <v>0</v>
      </c>
      <c r="L115" s="76">
        <f t="shared" si="2"/>
        <v>0</v>
      </c>
      <c r="M115" s="77" t="s">
        <v>618</v>
      </c>
      <c r="N115" s="63"/>
      <c r="Z115" s="28">
        <f t="shared" si="3"/>
        <v>0</v>
      </c>
      <c r="AB115" s="28">
        <f t="shared" si="4"/>
        <v>0</v>
      </c>
      <c r="AC115" s="28">
        <f t="shared" si="5"/>
        <v>0</v>
      </c>
      <c r="AD115" s="28">
        <f t="shared" si="6"/>
        <v>0</v>
      </c>
      <c r="AE115" s="28">
        <f t="shared" si="7"/>
        <v>0</v>
      </c>
      <c r="AF115" s="28">
        <f t="shared" si="8"/>
        <v>0</v>
      </c>
      <c r="AG115" s="28">
        <f t="shared" si="9"/>
        <v>0</v>
      </c>
      <c r="AH115" s="28">
        <f t="shared" si="10"/>
        <v>0</v>
      </c>
      <c r="AI115" s="27"/>
      <c r="AJ115" s="17">
        <f t="shared" si="11"/>
        <v>0</v>
      </c>
      <c r="AK115" s="17">
        <f t="shared" si="12"/>
        <v>0</v>
      </c>
      <c r="AL115" s="17">
        <f t="shared" si="13"/>
        <v>0</v>
      </c>
      <c r="AN115" s="28">
        <v>21</v>
      </c>
      <c r="AO115" s="28">
        <f>I115*0.803454913627159</f>
        <v>0</v>
      </c>
      <c r="AP115" s="28">
        <f>I115*(1-0.803454913627159)</f>
        <v>0</v>
      </c>
      <c r="AQ115" s="29" t="s">
        <v>13</v>
      </c>
      <c r="AV115" s="28">
        <f t="shared" si="14"/>
        <v>0</v>
      </c>
      <c r="AW115" s="28">
        <f t="shared" si="15"/>
        <v>0</v>
      </c>
      <c r="AX115" s="28">
        <f t="shared" si="16"/>
        <v>0</v>
      </c>
      <c r="AY115" s="31" t="s">
        <v>640</v>
      </c>
      <c r="AZ115" s="31" t="s">
        <v>662</v>
      </c>
      <c r="BA115" s="27" t="s">
        <v>669</v>
      </c>
      <c r="BC115" s="28">
        <f t="shared" si="17"/>
        <v>0</v>
      </c>
      <c r="BD115" s="28">
        <f t="shared" si="18"/>
        <v>0</v>
      </c>
      <c r="BE115" s="28">
        <v>0</v>
      </c>
      <c r="BF115" s="28">
        <f>115</f>
        <v>115</v>
      </c>
      <c r="BH115" s="17">
        <f t="shared" si="19"/>
        <v>0</v>
      </c>
      <c r="BI115" s="17">
        <f t="shared" si="20"/>
        <v>0</v>
      </c>
      <c r="BJ115" s="17">
        <f t="shared" si="21"/>
        <v>0</v>
      </c>
      <c r="BK115" s="17" t="s">
        <v>674</v>
      </c>
      <c r="BL115" s="28">
        <v>725</v>
      </c>
    </row>
    <row r="116" spans="1:64" ht="12.75">
      <c r="A116" s="75" t="s">
        <v>46</v>
      </c>
      <c r="B116" s="75" t="s">
        <v>187</v>
      </c>
      <c r="C116" s="123" t="s">
        <v>389</v>
      </c>
      <c r="D116" s="107"/>
      <c r="E116" s="107"/>
      <c r="F116" s="124"/>
      <c r="G116" s="75" t="s">
        <v>599</v>
      </c>
      <c r="H116" s="76">
        <v>3</v>
      </c>
      <c r="I116" s="95">
        <v>0</v>
      </c>
      <c r="J116" s="76">
        <f t="shared" si="0"/>
        <v>0</v>
      </c>
      <c r="K116" s="76">
        <f t="shared" si="1"/>
        <v>0</v>
      </c>
      <c r="L116" s="76">
        <f t="shared" si="2"/>
        <v>0</v>
      </c>
      <c r="M116" s="77" t="s">
        <v>618</v>
      </c>
      <c r="N116" s="63"/>
      <c r="Z116" s="28">
        <f t="shared" si="3"/>
        <v>0</v>
      </c>
      <c r="AB116" s="28">
        <f t="shared" si="4"/>
        <v>0</v>
      </c>
      <c r="AC116" s="28">
        <f t="shared" si="5"/>
        <v>0</v>
      </c>
      <c r="AD116" s="28">
        <f t="shared" si="6"/>
        <v>0</v>
      </c>
      <c r="AE116" s="28">
        <f t="shared" si="7"/>
        <v>0</v>
      </c>
      <c r="AF116" s="28">
        <f t="shared" si="8"/>
        <v>0</v>
      </c>
      <c r="AG116" s="28">
        <f t="shared" si="9"/>
        <v>0</v>
      </c>
      <c r="AH116" s="28">
        <f t="shared" si="10"/>
        <v>0</v>
      </c>
      <c r="AI116" s="27"/>
      <c r="AJ116" s="17">
        <f t="shared" si="11"/>
        <v>0</v>
      </c>
      <c r="AK116" s="17">
        <f t="shared" si="12"/>
        <v>0</v>
      </c>
      <c r="AL116" s="17">
        <f t="shared" si="13"/>
        <v>0</v>
      </c>
      <c r="AN116" s="28">
        <v>21</v>
      </c>
      <c r="AO116" s="28">
        <f>I116*0</f>
        <v>0</v>
      </c>
      <c r="AP116" s="28">
        <f>I116*(1-0)</f>
        <v>0</v>
      </c>
      <c r="AQ116" s="29" t="s">
        <v>13</v>
      </c>
      <c r="AV116" s="28">
        <f t="shared" si="14"/>
        <v>0</v>
      </c>
      <c r="AW116" s="28">
        <f t="shared" si="15"/>
        <v>0</v>
      </c>
      <c r="AX116" s="28">
        <f t="shared" si="16"/>
        <v>0</v>
      </c>
      <c r="AY116" s="31" t="s">
        <v>640</v>
      </c>
      <c r="AZ116" s="31" t="s">
        <v>662</v>
      </c>
      <c r="BA116" s="27" t="s">
        <v>669</v>
      </c>
      <c r="BC116" s="28">
        <f t="shared" si="17"/>
        <v>0</v>
      </c>
      <c r="BD116" s="28">
        <f t="shared" si="18"/>
        <v>0</v>
      </c>
      <c r="BE116" s="28">
        <v>0</v>
      </c>
      <c r="BF116" s="28">
        <f>116</f>
        <v>116</v>
      </c>
      <c r="BH116" s="17">
        <f t="shared" si="19"/>
        <v>0</v>
      </c>
      <c r="BI116" s="17">
        <f t="shared" si="20"/>
        <v>0</v>
      </c>
      <c r="BJ116" s="17">
        <f t="shared" si="21"/>
        <v>0</v>
      </c>
      <c r="BK116" s="17" t="s">
        <v>674</v>
      </c>
      <c r="BL116" s="28">
        <v>725</v>
      </c>
    </row>
    <row r="117" spans="1:64" ht="12.75">
      <c r="A117" s="75" t="s">
        <v>47</v>
      </c>
      <c r="B117" s="75" t="s">
        <v>188</v>
      </c>
      <c r="C117" s="123" t="s">
        <v>390</v>
      </c>
      <c r="D117" s="107"/>
      <c r="E117" s="107"/>
      <c r="F117" s="124"/>
      <c r="G117" s="75" t="s">
        <v>599</v>
      </c>
      <c r="H117" s="76">
        <v>3</v>
      </c>
      <c r="I117" s="95">
        <v>0</v>
      </c>
      <c r="J117" s="76">
        <f t="shared" si="0"/>
        <v>0</v>
      </c>
      <c r="K117" s="76">
        <f t="shared" si="1"/>
        <v>0</v>
      </c>
      <c r="L117" s="76">
        <f t="shared" si="2"/>
        <v>0</v>
      </c>
      <c r="M117" s="77" t="s">
        <v>618</v>
      </c>
      <c r="N117" s="63"/>
      <c r="Z117" s="28">
        <f t="shared" si="3"/>
        <v>0</v>
      </c>
      <c r="AB117" s="28">
        <f t="shared" si="4"/>
        <v>0</v>
      </c>
      <c r="AC117" s="28">
        <f t="shared" si="5"/>
        <v>0</v>
      </c>
      <c r="AD117" s="28">
        <f t="shared" si="6"/>
        <v>0</v>
      </c>
      <c r="AE117" s="28">
        <f t="shared" si="7"/>
        <v>0</v>
      </c>
      <c r="AF117" s="28">
        <f t="shared" si="8"/>
        <v>0</v>
      </c>
      <c r="AG117" s="28">
        <f t="shared" si="9"/>
        <v>0</v>
      </c>
      <c r="AH117" s="28">
        <f t="shared" si="10"/>
        <v>0</v>
      </c>
      <c r="AI117" s="27"/>
      <c r="AJ117" s="17">
        <f t="shared" si="11"/>
        <v>0</v>
      </c>
      <c r="AK117" s="17">
        <f t="shared" si="12"/>
        <v>0</v>
      </c>
      <c r="AL117" s="17">
        <f t="shared" si="13"/>
        <v>0</v>
      </c>
      <c r="AN117" s="28">
        <v>21</v>
      </c>
      <c r="AO117" s="28">
        <f>I117*0.971451481696688</f>
        <v>0</v>
      </c>
      <c r="AP117" s="28">
        <f>I117*(1-0.971451481696688)</f>
        <v>0</v>
      </c>
      <c r="AQ117" s="29" t="s">
        <v>13</v>
      </c>
      <c r="AV117" s="28">
        <f t="shared" si="14"/>
        <v>0</v>
      </c>
      <c r="AW117" s="28">
        <f t="shared" si="15"/>
        <v>0</v>
      </c>
      <c r="AX117" s="28">
        <f t="shared" si="16"/>
        <v>0</v>
      </c>
      <c r="AY117" s="31" t="s">
        <v>640</v>
      </c>
      <c r="AZ117" s="31" t="s">
        <v>662</v>
      </c>
      <c r="BA117" s="27" t="s">
        <v>669</v>
      </c>
      <c r="BC117" s="28">
        <f t="shared" si="17"/>
        <v>0</v>
      </c>
      <c r="BD117" s="28">
        <f t="shared" si="18"/>
        <v>0</v>
      </c>
      <c r="BE117" s="28">
        <v>0</v>
      </c>
      <c r="BF117" s="28">
        <f>117</f>
        <v>117</v>
      </c>
      <c r="BH117" s="17">
        <f t="shared" si="19"/>
        <v>0</v>
      </c>
      <c r="BI117" s="17">
        <f t="shared" si="20"/>
        <v>0</v>
      </c>
      <c r="BJ117" s="17">
        <f t="shared" si="21"/>
        <v>0</v>
      </c>
      <c r="BK117" s="17" t="s">
        <v>674</v>
      </c>
      <c r="BL117" s="28">
        <v>725</v>
      </c>
    </row>
    <row r="118" spans="1:64" ht="12.75">
      <c r="A118" s="78" t="s">
        <v>48</v>
      </c>
      <c r="B118" s="78" t="s">
        <v>189</v>
      </c>
      <c r="C118" s="125" t="s">
        <v>391</v>
      </c>
      <c r="D118" s="107"/>
      <c r="E118" s="107"/>
      <c r="F118" s="126"/>
      <c r="G118" s="78" t="s">
        <v>599</v>
      </c>
      <c r="H118" s="79">
        <v>3</v>
      </c>
      <c r="I118" s="89">
        <v>0</v>
      </c>
      <c r="J118" s="79">
        <f t="shared" si="0"/>
        <v>0</v>
      </c>
      <c r="K118" s="79">
        <f t="shared" si="1"/>
        <v>0</v>
      </c>
      <c r="L118" s="79">
        <f t="shared" si="2"/>
        <v>0</v>
      </c>
      <c r="M118" s="80" t="s">
        <v>618</v>
      </c>
      <c r="N118" s="63"/>
      <c r="Z118" s="28">
        <f t="shared" si="3"/>
        <v>0</v>
      </c>
      <c r="AB118" s="28">
        <f t="shared" si="4"/>
        <v>0</v>
      </c>
      <c r="AC118" s="28">
        <f t="shared" si="5"/>
        <v>0</v>
      </c>
      <c r="AD118" s="28">
        <f t="shared" si="6"/>
        <v>0</v>
      </c>
      <c r="AE118" s="28">
        <f t="shared" si="7"/>
        <v>0</v>
      </c>
      <c r="AF118" s="28">
        <f t="shared" si="8"/>
        <v>0</v>
      </c>
      <c r="AG118" s="28">
        <f t="shared" si="9"/>
        <v>0</v>
      </c>
      <c r="AH118" s="28">
        <f t="shared" si="10"/>
        <v>0</v>
      </c>
      <c r="AI118" s="27"/>
      <c r="AJ118" s="17">
        <f t="shared" si="11"/>
        <v>0</v>
      </c>
      <c r="AK118" s="17">
        <f t="shared" si="12"/>
        <v>0</v>
      </c>
      <c r="AL118" s="17">
        <f t="shared" si="13"/>
        <v>0</v>
      </c>
      <c r="AN118" s="28">
        <v>21</v>
      </c>
      <c r="AO118" s="28">
        <f>I118*0.877700763358779</f>
        <v>0</v>
      </c>
      <c r="AP118" s="28">
        <f>I118*(1-0.877700763358779)</f>
        <v>0</v>
      </c>
      <c r="AQ118" s="29" t="s">
        <v>13</v>
      </c>
      <c r="AV118" s="28">
        <f t="shared" si="14"/>
        <v>0</v>
      </c>
      <c r="AW118" s="28">
        <f t="shared" si="15"/>
        <v>0</v>
      </c>
      <c r="AX118" s="28">
        <f t="shared" si="16"/>
        <v>0</v>
      </c>
      <c r="AY118" s="31" t="s">
        <v>640</v>
      </c>
      <c r="AZ118" s="31" t="s">
        <v>662</v>
      </c>
      <c r="BA118" s="27" t="s">
        <v>669</v>
      </c>
      <c r="BC118" s="28">
        <f t="shared" si="17"/>
        <v>0</v>
      </c>
      <c r="BD118" s="28">
        <f t="shared" si="18"/>
        <v>0</v>
      </c>
      <c r="BE118" s="28">
        <v>0</v>
      </c>
      <c r="BF118" s="28">
        <f>118</f>
        <v>118</v>
      </c>
      <c r="BH118" s="17">
        <f t="shared" si="19"/>
        <v>0</v>
      </c>
      <c r="BI118" s="17">
        <f t="shared" si="20"/>
        <v>0</v>
      </c>
      <c r="BJ118" s="17">
        <f t="shared" si="21"/>
        <v>0</v>
      </c>
      <c r="BK118" s="17" t="s">
        <v>674</v>
      </c>
      <c r="BL118" s="28">
        <v>725</v>
      </c>
    </row>
    <row r="119" spans="1:14" ht="12.75">
      <c r="A119" s="4"/>
      <c r="B119" s="13" t="s">
        <v>143</v>
      </c>
      <c r="C119" s="120" t="s">
        <v>392</v>
      </c>
      <c r="D119" s="121"/>
      <c r="E119" s="121"/>
      <c r="F119" s="121"/>
      <c r="G119" s="121"/>
      <c r="H119" s="121"/>
      <c r="I119" s="121"/>
      <c r="J119" s="121"/>
      <c r="K119" s="121"/>
      <c r="L119" s="121"/>
      <c r="M119" s="122"/>
      <c r="N119" s="4"/>
    </row>
    <row r="120" spans="1:14" ht="12.75">
      <c r="A120" s="4"/>
      <c r="B120" s="13" t="s">
        <v>144</v>
      </c>
      <c r="C120" s="115" t="s">
        <v>393</v>
      </c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4"/>
    </row>
    <row r="121" spans="1:64" ht="12.75">
      <c r="A121" s="75" t="s">
        <v>49</v>
      </c>
      <c r="B121" s="75" t="s">
        <v>190</v>
      </c>
      <c r="C121" s="123" t="s">
        <v>394</v>
      </c>
      <c r="D121" s="107"/>
      <c r="E121" s="107"/>
      <c r="F121" s="124"/>
      <c r="G121" s="75" t="s">
        <v>599</v>
      </c>
      <c r="H121" s="76">
        <v>2</v>
      </c>
      <c r="I121" s="95">
        <v>0</v>
      </c>
      <c r="J121" s="76">
        <f>H121*AO121</f>
        <v>0</v>
      </c>
      <c r="K121" s="76">
        <f>H121*AP121</f>
        <v>0</v>
      </c>
      <c r="L121" s="76">
        <f>H121*I121</f>
        <v>0</v>
      </c>
      <c r="M121" s="77" t="s">
        <v>618</v>
      </c>
      <c r="N121" s="63"/>
      <c r="Z121" s="28">
        <f>IF(AQ121="5",BJ121,0)</f>
        <v>0</v>
      </c>
      <c r="AB121" s="28">
        <f>IF(AQ121="1",BH121,0)</f>
        <v>0</v>
      </c>
      <c r="AC121" s="28">
        <f>IF(AQ121="1",BI121,0)</f>
        <v>0</v>
      </c>
      <c r="AD121" s="28">
        <f>IF(AQ121="7",BH121,0)</f>
        <v>0</v>
      </c>
      <c r="AE121" s="28">
        <f>IF(AQ121="7",BI121,0)</f>
        <v>0</v>
      </c>
      <c r="AF121" s="28">
        <f>IF(AQ121="2",BH121,0)</f>
        <v>0</v>
      </c>
      <c r="AG121" s="28">
        <f>IF(AQ121="2",BI121,0)</f>
        <v>0</v>
      </c>
      <c r="AH121" s="28">
        <f>IF(AQ121="0",BJ121,0)</f>
        <v>0</v>
      </c>
      <c r="AI121" s="27"/>
      <c r="AJ121" s="17">
        <f>IF(AN121=0,L121,0)</f>
        <v>0</v>
      </c>
      <c r="AK121" s="17">
        <f>IF(AN121=15,L121,0)</f>
        <v>0</v>
      </c>
      <c r="AL121" s="17">
        <f>IF(AN121=21,L121,0)</f>
        <v>0</v>
      </c>
      <c r="AN121" s="28">
        <v>21</v>
      </c>
      <c r="AO121" s="28">
        <f>I121*0.770025106739103</f>
        <v>0</v>
      </c>
      <c r="AP121" s="28">
        <f>I121*(1-0.770025106739103)</f>
        <v>0</v>
      </c>
      <c r="AQ121" s="29" t="s">
        <v>13</v>
      </c>
      <c r="AV121" s="28">
        <f>AW121+AX121</f>
        <v>0</v>
      </c>
      <c r="AW121" s="28">
        <f>H121*AO121</f>
        <v>0</v>
      </c>
      <c r="AX121" s="28">
        <f>H121*AP121</f>
        <v>0</v>
      </c>
      <c r="AY121" s="31" t="s">
        <v>640</v>
      </c>
      <c r="AZ121" s="31" t="s">
        <v>662</v>
      </c>
      <c r="BA121" s="27" t="s">
        <v>669</v>
      </c>
      <c r="BC121" s="28">
        <f>AW121+AX121</f>
        <v>0</v>
      </c>
      <c r="BD121" s="28">
        <f>I121/(100-BE121)*100</f>
        <v>0</v>
      </c>
      <c r="BE121" s="28">
        <v>0</v>
      </c>
      <c r="BF121" s="28">
        <f>121</f>
        <v>121</v>
      </c>
      <c r="BH121" s="17">
        <f>H121*AO121</f>
        <v>0</v>
      </c>
      <c r="BI121" s="17">
        <f>H121*AP121</f>
        <v>0</v>
      </c>
      <c r="BJ121" s="17">
        <f>H121*I121</f>
        <v>0</v>
      </c>
      <c r="BK121" s="17" t="s">
        <v>674</v>
      </c>
      <c r="BL121" s="28">
        <v>725</v>
      </c>
    </row>
    <row r="122" spans="1:64" ht="12.75">
      <c r="A122" s="75" t="s">
        <v>50</v>
      </c>
      <c r="B122" s="75" t="s">
        <v>191</v>
      </c>
      <c r="C122" s="123" t="s">
        <v>395</v>
      </c>
      <c r="D122" s="107"/>
      <c r="E122" s="107"/>
      <c r="F122" s="124"/>
      <c r="G122" s="75" t="s">
        <v>599</v>
      </c>
      <c r="H122" s="76">
        <v>2</v>
      </c>
      <c r="I122" s="95">
        <v>0</v>
      </c>
      <c r="J122" s="76">
        <f>H122*AO122</f>
        <v>0</v>
      </c>
      <c r="K122" s="76">
        <f>H122*AP122</f>
        <v>0</v>
      </c>
      <c r="L122" s="76">
        <f>H122*I122</f>
        <v>0</v>
      </c>
      <c r="M122" s="77" t="s">
        <v>618</v>
      </c>
      <c r="N122" s="63"/>
      <c r="Z122" s="28">
        <f>IF(AQ122="5",BJ122,0)</f>
        <v>0</v>
      </c>
      <c r="AB122" s="28">
        <f>IF(AQ122="1",BH122,0)</f>
        <v>0</v>
      </c>
      <c r="AC122" s="28">
        <f>IF(AQ122="1",BI122,0)</f>
        <v>0</v>
      </c>
      <c r="AD122" s="28">
        <f>IF(AQ122="7",BH122,0)</f>
        <v>0</v>
      </c>
      <c r="AE122" s="28">
        <f>IF(AQ122="7",BI122,0)</f>
        <v>0</v>
      </c>
      <c r="AF122" s="28">
        <f>IF(AQ122="2",BH122,0)</f>
        <v>0</v>
      </c>
      <c r="AG122" s="28">
        <f>IF(AQ122="2",BI122,0)</f>
        <v>0</v>
      </c>
      <c r="AH122" s="28">
        <f>IF(AQ122="0",BJ122,0)</f>
        <v>0</v>
      </c>
      <c r="AI122" s="27"/>
      <c r="AJ122" s="17">
        <f>IF(AN122=0,L122,0)</f>
        <v>0</v>
      </c>
      <c r="AK122" s="17">
        <f>IF(AN122=15,L122,0)</f>
        <v>0</v>
      </c>
      <c r="AL122" s="17">
        <f>IF(AN122=21,L122,0)</f>
        <v>0</v>
      </c>
      <c r="AN122" s="28">
        <v>21</v>
      </c>
      <c r="AO122" s="28">
        <f>I122*0.755456341724611</f>
        <v>0</v>
      </c>
      <c r="AP122" s="28">
        <f>I122*(1-0.755456341724611)</f>
        <v>0</v>
      </c>
      <c r="AQ122" s="29" t="s">
        <v>13</v>
      </c>
      <c r="AV122" s="28">
        <f>AW122+AX122</f>
        <v>0</v>
      </c>
      <c r="AW122" s="28">
        <f>H122*AO122</f>
        <v>0</v>
      </c>
      <c r="AX122" s="28">
        <f>H122*AP122</f>
        <v>0</v>
      </c>
      <c r="AY122" s="31" t="s">
        <v>640</v>
      </c>
      <c r="AZ122" s="31" t="s">
        <v>662</v>
      </c>
      <c r="BA122" s="27" t="s">
        <v>669</v>
      </c>
      <c r="BC122" s="28">
        <f>AW122+AX122</f>
        <v>0</v>
      </c>
      <c r="BD122" s="28">
        <f>I122/(100-BE122)*100</f>
        <v>0</v>
      </c>
      <c r="BE122" s="28">
        <v>0</v>
      </c>
      <c r="BF122" s="28">
        <f>122</f>
        <v>122</v>
      </c>
      <c r="BH122" s="17">
        <f>H122*AO122</f>
        <v>0</v>
      </c>
      <c r="BI122" s="17">
        <f>H122*AP122</f>
        <v>0</v>
      </c>
      <c r="BJ122" s="17">
        <f>H122*I122</f>
        <v>0</v>
      </c>
      <c r="BK122" s="17" t="s">
        <v>674</v>
      </c>
      <c r="BL122" s="28">
        <v>725</v>
      </c>
    </row>
    <row r="123" spans="1:64" ht="12.75">
      <c r="A123" s="78" t="s">
        <v>51</v>
      </c>
      <c r="B123" s="78" t="s">
        <v>192</v>
      </c>
      <c r="C123" s="125" t="s">
        <v>396</v>
      </c>
      <c r="D123" s="107"/>
      <c r="E123" s="107"/>
      <c r="F123" s="126"/>
      <c r="G123" s="78" t="s">
        <v>597</v>
      </c>
      <c r="H123" s="79">
        <v>3</v>
      </c>
      <c r="I123" s="89">
        <v>0</v>
      </c>
      <c r="J123" s="79">
        <f>H123*AO123</f>
        <v>0</v>
      </c>
      <c r="K123" s="79">
        <f>H123*AP123</f>
        <v>0</v>
      </c>
      <c r="L123" s="79">
        <f>H123*I123</f>
        <v>0</v>
      </c>
      <c r="M123" s="80" t="s">
        <v>618</v>
      </c>
      <c r="N123" s="63"/>
      <c r="Z123" s="28">
        <f>IF(AQ123="5",BJ123,0)</f>
        <v>0</v>
      </c>
      <c r="AB123" s="28">
        <f>IF(AQ123="1",BH123,0)</f>
        <v>0</v>
      </c>
      <c r="AC123" s="28">
        <f>IF(AQ123="1",BI123,0)</f>
        <v>0</v>
      </c>
      <c r="AD123" s="28">
        <f>IF(AQ123="7",BH123,0)</f>
        <v>0</v>
      </c>
      <c r="AE123" s="28">
        <f>IF(AQ123="7",BI123,0)</f>
        <v>0</v>
      </c>
      <c r="AF123" s="28">
        <f>IF(AQ123="2",BH123,0)</f>
        <v>0</v>
      </c>
      <c r="AG123" s="28">
        <f>IF(AQ123="2",BI123,0)</f>
        <v>0</v>
      </c>
      <c r="AH123" s="28">
        <f>IF(AQ123="0",BJ123,0)</f>
        <v>0</v>
      </c>
      <c r="AI123" s="27"/>
      <c r="AJ123" s="17">
        <f>IF(AN123=0,L123,0)</f>
        <v>0</v>
      </c>
      <c r="AK123" s="17">
        <f>IF(AN123=15,L123,0)</f>
        <v>0</v>
      </c>
      <c r="AL123" s="17">
        <f>IF(AN123=21,L123,0)</f>
        <v>0</v>
      </c>
      <c r="AN123" s="28">
        <v>21</v>
      </c>
      <c r="AO123" s="28">
        <f>I123*0.854710327455919</f>
        <v>0</v>
      </c>
      <c r="AP123" s="28">
        <f>I123*(1-0.854710327455919)</f>
        <v>0</v>
      </c>
      <c r="AQ123" s="29" t="s">
        <v>13</v>
      </c>
      <c r="AV123" s="28">
        <f>AW123+AX123</f>
        <v>0</v>
      </c>
      <c r="AW123" s="28">
        <f>H123*AO123</f>
        <v>0</v>
      </c>
      <c r="AX123" s="28">
        <f>H123*AP123</f>
        <v>0</v>
      </c>
      <c r="AY123" s="31" t="s">
        <v>640</v>
      </c>
      <c r="AZ123" s="31" t="s">
        <v>662</v>
      </c>
      <c r="BA123" s="27" t="s">
        <v>669</v>
      </c>
      <c r="BC123" s="28">
        <f>AW123+AX123</f>
        <v>0</v>
      </c>
      <c r="BD123" s="28">
        <f>I123/(100-BE123)*100</f>
        <v>0</v>
      </c>
      <c r="BE123" s="28">
        <v>0</v>
      </c>
      <c r="BF123" s="28">
        <f>123</f>
        <v>123</v>
      </c>
      <c r="BH123" s="17">
        <f>H123*AO123</f>
        <v>0</v>
      </c>
      <c r="BI123" s="17">
        <f>H123*AP123</f>
        <v>0</v>
      </c>
      <c r="BJ123" s="17">
        <f>H123*I123</f>
        <v>0</v>
      </c>
      <c r="BK123" s="17" t="s">
        <v>674</v>
      </c>
      <c r="BL123" s="28">
        <v>725</v>
      </c>
    </row>
    <row r="124" spans="1:14" ht="12.75">
      <c r="A124" s="4"/>
      <c r="B124" s="13" t="s">
        <v>143</v>
      </c>
      <c r="C124" s="120" t="s">
        <v>397</v>
      </c>
      <c r="D124" s="121"/>
      <c r="E124" s="121"/>
      <c r="F124" s="121"/>
      <c r="G124" s="121"/>
      <c r="H124" s="121"/>
      <c r="I124" s="121"/>
      <c r="J124" s="121"/>
      <c r="K124" s="121"/>
      <c r="L124" s="121"/>
      <c r="M124" s="122"/>
      <c r="N124" s="4"/>
    </row>
    <row r="125" spans="1:64" ht="12.75">
      <c r="A125" s="75" t="s">
        <v>52</v>
      </c>
      <c r="B125" s="75" t="s">
        <v>193</v>
      </c>
      <c r="C125" s="123" t="s">
        <v>398</v>
      </c>
      <c r="D125" s="107"/>
      <c r="E125" s="107"/>
      <c r="F125" s="124"/>
      <c r="G125" s="75" t="s">
        <v>597</v>
      </c>
      <c r="H125" s="76">
        <v>3</v>
      </c>
      <c r="I125" s="95">
        <v>0</v>
      </c>
      <c r="J125" s="76">
        <f>H125*AO125</f>
        <v>0</v>
      </c>
      <c r="K125" s="76">
        <f>H125*AP125</f>
        <v>0</v>
      </c>
      <c r="L125" s="76">
        <f>H125*I125</f>
        <v>0</v>
      </c>
      <c r="M125" s="77" t="s">
        <v>618</v>
      </c>
      <c r="N125" s="63"/>
      <c r="Z125" s="28">
        <f>IF(AQ125="5",BJ125,0)</f>
        <v>0</v>
      </c>
      <c r="AB125" s="28">
        <f>IF(AQ125="1",BH125,0)</f>
        <v>0</v>
      </c>
      <c r="AC125" s="28">
        <f>IF(AQ125="1",BI125,0)</f>
        <v>0</v>
      </c>
      <c r="AD125" s="28">
        <f>IF(AQ125="7",BH125,0)</f>
        <v>0</v>
      </c>
      <c r="AE125" s="28">
        <f>IF(AQ125="7",BI125,0)</f>
        <v>0</v>
      </c>
      <c r="AF125" s="28">
        <f>IF(AQ125="2",BH125,0)</f>
        <v>0</v>
      </c>
      <c r="AG125" s="28">
        <f>IF(AQ125="2",BI125,0)</f>
        <v>0</v>
      </c>
      <c r="AH125" s="28">
        <f>IF(AQ125="0",BJ125,0)</f>
        <v>0</v>
      </c>
      <c r="AI125" s="27"/>
      <c r="AJ125" s="17">
        <f>IF(AN125=0,L125,0)</f>
        <v>0</v>
      </c>
      <c r="AK125" s="17">
        <f>IF(AN125=15,L125,0)</f>
        <v>0</v>
      </c>
      <c r="AL125" s="17">
        <f>IF(AN125=21,L125,0)</f>
        <v>0</v>
      </c>
      <c r="AN125" s="28">
        <v>21</v>
      </c>
      <c r="AO125" s="28">
        <f>I125*0.20002099682423</f>
        <v>0</v>
      </c>
      <c r="AP125" s="28">
        <f>I125*(1-0.20002099682423)</f>
        <v>0</v>
      </c>
      <c r="AQ125" s="29" t="s">
        <v>13</v>
      </c>
      <c r="AV125" s="28">
        <f>AW125+AX125</f>
        <v>0</v>
      </c>
      <c r="AW125" s="28">
        <f>H125*AO125</f>
        <v>0</v>
      </c>
      <c r="AX125" s="28">
        <f>H125*AP125</f>
        <v>0</v>
      </c>
      <c r="AY125" s="31" t="s">
        <v>640</v>
      </c>
      <c r="AZ125" s="31" t="s">
        <v>662</v>
      </c>
      <c r="BA125" s="27" t="s">
        <v>669</v>
      </c>
      <c r="BC125" s="28">
        <f>AW125+AX125</f>
        <v>0</v>
      </c>
      <c r="BD125" s="28">
        <f>I125/(100-BE125)*100</f>
        <v>0</v>
      </c>
      <c r="BE125" s="28">
        <v>0</v>
      </c>
      <c r="BF125" s="28">
        <f>125</f>
        <v>125</v>
      </c>
      <c r="BH125" s="17">
        <f>H125*AO125</f>
        <v>0</v>
      </c>
      <c r="BI125" s="17">
        <f>H125*AP125</f>
        <v>0</v>
      </c>
      <c r="BJ125" s="17">
        <f>H125*I125</f>
        <v>0</v>
      </c>
      <c r="BK125" s="17" t="s">
        <v>674</v>
      </c>
      <c r="BL125" s="28">
        <v>725</v>
      </c>
    </row>
    <row r="126" spans="1:64" ht="12.75">
      <c r="A126" s="78" t="s">
        <v>53</v>
      </c>
      <c r="B126" s="78" t="s">
        <v>194</v>
      </c>
      <c r="C126" s="125" t="s">
        <v>399</v>
      </c>
      <c r="D126" s="107"/>
      <c r="E126" s="107"/>
      <c r="F126" s="126"/>
      <c r="G126" s="78" t="s">
        <v>597</v>
      </c>
      <c r="H126" s="79">
        <v>6</v>
      </c>
      <c r="I126" s="89">
        <v>0</v>
      </c>
      <c r="J126" s="79">
        <f>H126*AO126</f>
        <v>0</v>
      </c>
      <c r="K126" s="79">
        <f>H126*AP126</f>
        <v>0</v>
      </c>
      <c r="L126" s="79">
        <f>H126*I126</f>
        <v>0</v>
      </c>
      <c r="M126" s="80" t="s">
        <v>618</v>
      </c>
      <c r="N126" s="63"/>
      <c r="Z126" s="28">
        <f>IF(AQ126="5",BJ126,0)</f>
        <v>0</v>
      </c>
      <c r="AB126" s="28">
        <f>IF(AQ126="1",BH126,0)</f>
        <v>0</v>
      </c>
      <c r="AC126" s="28">
        <f>IF(AQ126="1",BI126,0)</f>
        <v>0</v>
      </c>
      <c r="AD126" s="28">
        <f>IF(AQ126="7",BH126,0)</f>
        <v>0</v>
      </c>
      <c r="AE126" s="28">
        <f>IF(AQ126="7",BI126,0)</f>
        <v>0</v>
      </c>
      <c r="AF126" s="28">
        <f>IF(AQ126="2",BH126,0)</f>
        <v>0</v>
      </c>
      <c r="AG126" s="28">
        <f>IF(AQ126="2",BI126,0)</f>
        <v>0</v>
      </c>
      <c r="AH126" s="28">
        <f>IF(AQ126="0",BJ126,0)</f>
        <v>0</v>
      </c>
      <c r="AI126" s="27"/>
      <c r="AJ126" s="17">
        <f>IF(AN126=0,L126,0)</f>
        <v>0</v>
      </c>
      <c r="AK126" s="17">
        <f>IF(AN126=15,L126,0)</f>
        <v>0</v>
      </c>
      <c r="AL126" s="17">
        <f>IF(AN126=21,L126,0)</f>
        <v>0</v>
      </c>
      <c r="AN126" s="28">
        <v>21</v>
      </c>
      <c r="AO126" s="28">
        <f>I126*0.904155344898955</f>
        <v>0</v>
      </c>
      <c r="AP126" s="28">
        <f>I126*(1-0.904155344898955)</f>
        <v>0</v>
      </c>
      <c r="AQ126" s="29" t="s">
        <v>13</v>
      </c>
      <c r="AV126" s="28">
        <f>AW126+AX126</f>
        <v>0</v>
      </c>
      <c r="AW126" s="28">
        <f>H126*AO126</f>
        <v>0</v>
      </c>
      <c r="AX126" s="28">
        <f>H126*AP126</f>
        <v>0</v>
      </c>
      <c r="AY126" s="31" t="s">
        <v>640</v>
      </c>
      <c r="AZ126" s="31" t="s">
        <v>662</v>
      </c>
      <c r="BA126" s="27" t="s">
        <v>669</v>
      </c>
      <c r="BC126" s="28">
        <f>AW126+AX126</f>
        <v>0</v>
      </c>
      <c r="BD126" s="28">
        <f>I126/(100-BE126)*100</f>
        <v>0</v>
      </c>
      <c r="BE126" s="28">
        <v>0</v>
      </c>
      <c r="BF126" s="28">
        <f>126</f>
        <v>126</v>
      </c>
      <c r="BH126" s="17">
        <f>H126*AO126</f>
        <v>0</v>
      </c>
      <c r="BI126" s="17">
        <f>H126*AP126</f>
        <v>0</v>
      </c>
      <c r="BJ126" s="17">
        <f>H126*I126</f>
        <v>0</v>
      </c>
      <c r="BK126" s="17" t="s">
        <v>674</v>
      </c>
      <c r="BL126" s="28">
        <v>725</v>
      </c>
    </row>
    <row r="127" spans="1:14" ht="12.75">
      <c r="A127" s="4"/>
      <c r="B127" s="13" t="s">
        <v>143</v>
      </c>
      <c r="C127" s="120" t="s">
        <v>397</v>
      </c>
      <c r="D127" s="121"/>
      <c r="E127" s="121"/>
      <c r="F127" s="121"/>
      <c r="G127" s="121"/>
      <c r="H127" s="121"/>
      <c r="I127" s="121"/>
      <c r="J127" s="121"/>
      <c r="K127" s="121"/>
      <c r="L127" s="121"/>
      <c r="M127" s="122"/>
      <c r="N127" s="4"/>
    </row>
    <row r="128" spans="1:14" s="86" customFormat="1" ht="25.5" customHeight="1">
      <c r="A128" s="84"/>
      <c r="B128" s="85" t="s">
        <v>139</v>
      </c>
      <c r="C128" s="103" t="s">
        <v>400</v>
      </c>
      <c r="D128" s="104"/>
      <c r="E128" s="104"/>
      <c r="F128" s="104"/>
      <c r="G128" s="104"/>
      <c r="H128" s="104"/>
      <c r="I128" s="104"/>
      <c r="J128" s="104"/>
      <c r="K128" s="104"/>
      <c r="L128" s="104"/>
      <c r="M128" s="105"/>
      <c r="N128" s="84"/>
    </row>
    <row r="129" spans="1:64" ht="12.75">
      <c r="A129" s="75" t="s">
        <v>54</v>
      </c>
      <c r="B129" s="75" t="s">
        <v>195</v>
      </c>
      <c r="C129" s="123" t="s">
        <v>401</v>
      </c>
      <c r="D129" s="107"/>
      <c r="E129" s="107"/>
      <c r="F129" s="124"/>
      <c r="G129" s="75" t="s">
        <v>597</v>
      </c>
      <c r="H129" s="76">
        <v>6</v>
      </c>
      <c r="I129" s="95">
        <v>0</v>
      </c>
      <c r="J129" s="76">
        <f>H129*AO129</f>
        <v>0</v>
      </c>
      <c r="K129" s="76">
        <f>H129*AP129</f>
        <v>0</v>
      </c>
      <c r="L129" s="76">
        <f>H129*I129</f>
        <v>0</v>
      </c>
      <c r="M129" s="77" t="s">
        <v>618</v>
      </c>
      <c r="N129" s="63"/>
      <c r="Z129" s="28">
        <f>IF(AQ129="5",BJ129,0)</f>
        <v>0</v>
      </c>
      <c r="AB129" s="28">
        <f>IF(AQ129="1",BH129,0)</f>
        <v>0</v>
      </c>
      <c r="AC129" s="28">
        <f>IF(AQ129="1",BI129,0)</f>
        <v>0</v>
      </c>
      <c r="AD129" s="28">
        <f>IF(AQ129="7",BH129,0)</f>
        <v>0</v>
      </c>
      <c r="AE129" s="28">
        <f>IF(AQ129="7",BI129,0)</f>
        <v>0</v>
      </c>
      <c r="AF129" s="28">
        <f>IF(AQ129="2",BH129,0)</f>
        <v>0</v>
      </c>
      <c r="AG129" s="28">
        <f>IF(AQ129="2",BI129,0)</f>
        <v>0</v>
      </c>
      <c r="AH129" s="28">
        <f>IF(AQ129="0",BJ129,0)</f>
        <v>0</v>
      </c>
      <c r="AI129" s="27"/>
      <c r="AJ129" s="17">
        <f>IF(AN129=0,L129,0)</f>
        <v>0</v>
      </c>
      <c r="AK129" s="17">
        <f>IF(AN129=15,L129,0)</f>
        <v>0</v>
      </c>
      <c r="AL129" s="17">
        <f>IF(AN129=21,L129,0)</f>
        <v>0</v>
      </c>
      <c r="AN129" s="28">
        <v>21</v>
      </c>
      <c r="AO129" s="28">
        <f>I129*0.323106312773163</f>
        <v>0</v>
      </c>
      <c r="AP129" s="28">
        <f>I129*(1-0.323106312773163)</f>
        <v>0</v>
      </c>
      <c r="AQ129" s="29" t="s">
        <v>13</v>
      </c>
      <c r="AV129" s="28">
        <f>AW129+AX129</f>
        <v>0</v>
      </c>
      <c r="AW129" s="28">
        <f>H129*AO129</f>
        <v>0</v>
      </c>
      <c r="AX129" s="28">
        <f>H129*AP129</f>
        <v>0</v>
      </c>
      <c r="AY129" s="31" t="s">
        <v>640</v>
      </c>
      <c r="AZ129" s="31" t="s">
        <v>662</v>
      </c>
      <c r="BA129" s="27" t="s">
        <v>669</v>
      </c>
      <c r="BC129" s="28">
        <f>AW129+AX129</f>
        <v>0</v>
      </c>
      <c r="BD129" s="28">
        <f>I129/(100-BE129)*100</f>
        <v>0</v>
      </c>
      <c r="BE129" s="28">
        <v>0</v>
      </c>
      <c r="BF129" s="28">
        <f>129</f>
        <v>129</v>
      </c>
      <c r="BH129" s="17">
        <f>H129*AO129</f>
        <v>0</v>
      </c>
      <c r="BI129" s="17">
        <f>H129*AP129</f>
        <v>0</v>
      </c>
      <c r="BJ129" s="17">
        <f>H129*I129</f>
        <v>0</v>
      </c>
      <c r="BK129" s="17" t="s">
        <v>674</v>
      </c>
      <c r="BL129" s="28">
        <v>725</v>
      </c>
    </row>
    <row r="130" spans="1:64" ht="12.75">
      <c r="A130" s="75" t="s">
        <v>55</v>
      </c>
      <c r="B130" s="75" t="s">
        <v>196</v>
      </c>
      <c r="C130" s="123" t="s">
        <v>402</v>
      </c>
      <c r="D130" s="107"/>
      <c r="E130" s="107"/>
      <c r="F130" s="124"/>
      <c r="G130" s="75" t="s">
        <v>599</v>
      </c>
      <c r="H130" s="76">
        <v>3</v>
      </c>
      <c r="I130" s="95">
        <v>0</v>
      </c>
      <c r="J130" s="76">
        <f>H130*AO130</f>
        <v>0</v>
      </c>
      <c r="K130" s="76">
        <f>H130*AP130</f>
        <v>0</v>
      </c>
      <c r="L130" s="76">
        <f>H130*I130</f>
        <v>0</v>
      </c>
      <c r="M130" s="77" t="s">
        <v>618</v>
      </c>
      <c r="N130" s="63"/>
      <c r="Z130" s="28">
        <f>IF(AQ130="5",BJ130,0)</f>
        <v>0</v>
      </c>
      <c r="AB130" s="28">
        <f>IF(AQ130="1",BH130,0)</f>
        <v>0</v>
      </c>
      <c r="AC130" s="28">
        <f>IF(AQ130="1",BI130,0)</f>
        <v>0</v>
      </c>
      <c r="AD130" s="28">
        <f>IF(AQ130="7",BH130,0)</f>
        <v>0</v>
      </c>
      <c r="AE130" s="28">
        <f>IF(AQ130="7",BI130,0)</f>
        <v>0</v>
      </c>
      <c r="AF130" s="28">
        <f>IF(AQ130="2",BH130,0)</f>
        <v>0</v>
      </c>
      <c r="AG130" s="28">
        <f>IF(AQ130="2",BI130,0)</f>
        <v>0</v>
      </c>
      <c r="AH130" s="28">
        <f>IF(AQ130="0",BJ130,0)</f>
        <v>0</v>
      </c>
      <c r="AI130" s="27"/>
      <c r="AJ130" s="17">
        <f>IF(AN130=0,L130,0)</f>
        <v>0</v>
      </c>
      <c r="AK130" s="17">
        <f>IF(AN130=15,L130,0)</f>
        <v>0</v>
      </c>
      <c r="AL130" s="17">
        <f>IF(AN130=21,L130,0)</f>
        <v>0</v>
      </c>
      <c r="AN130" s="28">
        <v>21</v>
      </c>
      <c r="AO130" s="28">
        <f>I130*0.910022197558269</f>
        <v>0</v>
      </c>
      <c r="AP130" s="28">
        <f>I130*(1-0.910022197558269)</f>
        <v>0</v>
      </c>
      <c r="AQ130" s="29" t="s">
        <v>13</v>
      </c>
      <c r="AV130" s="28">
        <f>AW130+AX130</f>
        <v>0</v>
      </c>
      <c r="AW130" s="28">
        <f>H130*AO130</f>
        <v>0</v>
      </c>
      <c r="AX130" s="28">
        <f>H130*AP130</f>
        <v>0</v>
      </c>
      <c r="AY130" s="31" t="s">
        <v>640</v>
      </c>
      <c r="AZ130" s="31" t="s">
        <v>662</v>
      </c>
      <c r="BA130" s="27" t="s">
        <v>669</v>
      </c>
      <c r="BC130" s="28">
        <f>AW130+AX130</f>
        <v>0</v>
      </c>
      <c r="BD130" s="28">
        <f>I130/(100-BE130)*100</f>
        <v>0</v>
      </c>
      <c r="BE130" s="28">
        <v>0</v>
      </c>
      <c r="BF130" s="28">
        <f>130</f>
        <v>130</v>
      </c>
      <c r="BH130" s="17">
        <f>H130*AO130</f>
        <v>0</v>
      </c>
      <c r="BI130" s="17">
        <f>H130*AP130</f>
        <v>0</v>
      </c>
      <c r="BJ130" s="17">
        <f>H130*I130</f>
        <v>0</v>
      </c>
      <c r="BK130" s="17" t="s">
        <v>674</v>
      </c>
      <c r="BL130" s="28">
        <v>725</v>
      </c>
    </row>
    <row r="131" spans="1:64" ht="12.75">
      <c r="A131" s="75" t="s">
        <v>56</v>
      </c>
      <c r="B131" s="75" t="s">
        <v>186</v>
      </c>
      <c r="C131" s="123" t="s">
        <v>388</v>
      </c>
      <c r="D131" s="107"/>
      <c r="E131" s="107"/>
      <c r="F131" s="124"/>
      <c r="G131" s="75" t="s">
        <v>599</v>
      </c>
      <c r="H131" s="76">
        <v>3</v>
      </c>
      <c r="I131" s="95">
        <v>0</v>
      </c>
      <c r="J131" s="76">
        <f>H131*AO131</f>
        <v>0</v>
      </c>
      <c r="K131" s="76">
        <f>H131*AP131</f>
        <v>0</v>
      </c>
      <c r="L131" s="76">
        <f>H131*I131</f>
        <v>0</v>
      </c>
      <c r="M131" s="77" t="s">
        <v>618</v>
      </c>
      <c r="N131" s="63"/>
      <c r="Z131" s="28">
        <f>IF(AQ131="5",BJ131,0)</f>
        <v>0</v>
      </c>
      <c r="AB131" s="28">
        <f>IF(AQ131="1",BH131,0)</f>
        <v>0</v>
      </c>
      <c r="AC131" s="28">
        <f>IF(AQ131="1",BI131,0)</f>
        <v>0</v>
      </c>
      <c r="AD131" s="28">
        <f>IF(AQ131="7",BH131,0)</f>
        <v>0</v>
      </c>
      <c r="AE131" s="28">
        <f>IF(AQ131="7",BI131,0)</f>
        <v>0</v>
      </c>
      <c r="AF131" s="28">
        <f>IF(AQ131="2",BH131,0)</f>
        <v>0</v>
      </c>
      <c r="AG131" s="28">
        <f>IF(AQ131="2",BI131,0)</f>
        <v>0</v>
      </c>
      <c r="AH131" s="28">
        <f>IF(AQ131="0",BJ131,0)</f>
        <v>0</v>
      </c>
      <c r="AI131" s="27"/>
      <c r="AJ131" s="17">
        <f>IF(AN131=0,L131,0)</f>
        <v>0</v>
      </c>
      <c r="AK131" s="17">
        <f>IF(AN131=15,L131,0)</f>
        <v>0</v>
      </c>
      <c r="AL131" s="17">
        <f>IF(AN131=21,L131,0)</f>
        <v>0</v>
      </c>
      <c r="AN131" s="28">
        <v>21</v>
      </c>
      <c r="AO131" s="28">
        <f>I131*0.803454913627159</f>
        <v>0</v>
      </c>
      <c r="AP131" s="28">
        <f>I131*(1-0.803454913627159)</f>
        <v>0</v>
      </c>
      <c r="AQ131" s="29" t="s">
        <v>13</v>
      </c>
      <c r="AV131" s="28">
        <f>AW131+AX131</f>
        <v>0</v>
      </c>
      <c r="AW131" s="28">
        <f>H131*AO131</f>
        <v>0</v>
      </c>
      <c r="AX131" s="28">
        <f>H131*AP131</f>
        <v>0</v>
      </c>
      <c r="AY131" s="31" t="s">
        <v>640</v>
      </c>
      <c r="AZ131" s="31" t="s">
        <v>662</v>
      </c>
      <c r="BA131" s="27" t="s">
        <v>669</v>
      </c>
      <c r="BC131" s="28">
        <f>AW131+AX131</f>
        <v>0</v>
      </c>
      <c r="BD131" s="28">
        <f>I131/(100-BE131)*100</f>
        <v>0</v>
      </c>
      <c r="BE131" s="28">
        <v>0</v>
      </c>
      <c r="BF131" s="28">
        <f>131</f>
        <v>131</v>
      </c>
      <c r="BH131" s="17">
        <f>H131*AO131</f>
        <v>0</v>
      </c>
      <c r="BI131" s="17">
        <f>H131*AP131</f>
        <v>0</v>
      </c>
      <c r="BJ131" s="17">
        <f>H131*I131</f>
        <v>0</v>
      </c>
      <c r="BK131" s="17" t="s">
        <v>674</v>
      </c>
      <c r="BL131" s="28">
        <v>725</v>
      </c>
    </row>
    <row r="132" spans="1:64" ht="12.75">
      <c r="A132" s="75" t="s">
        <v>57</v>
      </c>
      <c r="B132" s="75" t="s">
        <v>197</v>
      </c>
      <c r="C132" s="123" t="s">
        <v>403</v>
      </c>
      <c r="D132" s="107"/>
      <c r="E132" s="107"/>
      <c r="F132" s="124"/>
      <c r="G132" s="75" t="s">
        <v>599</v>
      </c>
      <c r="H132" s="76">
        <v>5</v>
      </c>
      <c r="I132" s="95">
        <v>0</v>
      </c>
      <c r="J132" s="76">
        <f>H132*AO132</f>
        <v>0</v>
      </c>
      <c r="K132" s="76">
        <f>H132*AP132</f>
        <v>0</v>
      </c>
      <c r="L132" s="76">
        <f>H132*I132</f>
        <v>0</v>
      </c>
      <c r="M132" s="77" t="s">
        <v>618</v>
      </c>
      <c r="N132" s="63"/>
      <c r="Z132" s="28">
        <f>IF(AQ132="5",BJ132,0)</f>
        <v>0</v>
      </c>
      <c r="AB132" s="28">
        <f>IF(AQ132="1",BH132,0)</f>
        <v>0</v>
      </c>
      <c r="AC132" s="28">
        <f>IF(AQ132="1",BI132,0)</f>
        <v>0</v>
      </c>
      <c r="AD132" s="28">
        <f>IF(AQ132="7",BH132,0)</f>
        <v>0</v>
      </c>
      <c r="AE132" s="28">
        <f>IF(AQ132="7",BI132,0)</f>
        <v>0</v>
      </c>
      <c r="AF132" s="28">
        <f>IF(AQ132="2",BH132,0)</f>
        <v>0</v>
      </c>
      <c r="AG132" s="28">
        <f>IF(AQ132="2",BI132,0)</f>
        <v>0</v>
      </c>
      <c r="AH132" s="28">
        <f>IF(AQ132="0",BJ132,0)</f>
        <v>0</v>
      </c>
      <c r="AI132" s="27"/>
      <c r="AJ132" s="17">
        <f>IF(AN132=0,L132,0)</f>
        <v>0</v>
      </c>
      <c r="AK132" s="17">
        <f>IF(AN132=15,L132,0)</f>
        <v>0</v>
      </c>
      <c r="AL132" s="17">
        <f>IF(AN132=21,L132,0)</f>
        <v>0</v>
      </c>
      <c r="AN132" s="28">
        <v>21</v>
      </c>
      <c r="AO132" s="28">
        <f>I132*0.849333333333333</f>
        <v>0</v>
      </c>
      <c r="AP132" s="28">
        <f>I132*(1-0.849333333333333)</f>
        <v>0</v>
      </c>
      <c r="AQ132" s="29" t="s">
        <v>13</v>
      </c>
      <c r="AV132" s="28">
        <f>AW132+AX132</f>
        <v>0</v>
      </c>
      <c r="AW132" s="28">
        <f>H132*AO132</f>
        <v>0</v>
      </c>
      <c r="AX132" s="28">
        <f>H132*AP132</f>
        <v>0</v>
      </c>
      <c r="AY132" s="31" t="s">
        <v>640</v>
      </c>
      <c r="AZ132" s="31" t="s">
        <v>662</v>
      </c>
      <c r="BA132" s="27" t="s">
        <v>669</v>
      </c>
      <c r="BC132" s="28">
        <f>AW132+AX132</f>
        <v>0</v>
      </c>
      <c r="BD132" s="28">
        <f>I132/(100-BE132)*100</f>
        <v>0</v>
      </c>
      <c r="BE132" s="28">
        <v>0</v>
      </c>
      <c r="BF132" s="28">
        <f>132</f>
        <v>132</v>
      </c>
      <c r="BH132" s="17">
        <f>H132*AO132</f>
        <v>0</v>
      </c>
      <c r="BI132" s="17">
        <f>H132*AP132</f>
        <v>0</v>
      </c>
      <c r="BJ132" s="17">
        <f>H132*I132</f>
        <v>0</v>
      </c>
      <c r="BK132" s="17" t="s">
        <v>674</v>
      </c>
      <c r="BL132" s="28">
        <v>725</v>
      </c>
    </row>
    <row r="133" spans="1:64" ht="12.75">
      <c r="A133" s="78" t="s">
        <v>58</v>
      </c>
      <c r="B133" s="78" t="s">
        <v>198</v>
      </c>
      <c r="C133" s="125" t="s">
        <v>404</v>
      </c>
      <c r="D133" s="107"/>
      <c r="E133" s="107"/>
      <c r="F133" s="126"/>
      <c r="G133" s="78" t="s">
        <v>599</v>
      </c>
      <c r="H133" s="79">
        <v>3</v>
      </c>
      <c r="I133" s="89">
        <v>0</v>
      </c>
      <c r="J133" s="79">
        <f>H133*AO133</f>
        <v>0</v>
      </c>
      <c r="K133" s="79">
        <f>H133*AP133</f>
        <v>0</v>
      </c>
      <c r="L133" s="79">
        <f>H133*I133</f>
        <v>0</v>
      </c>
      <c r="M133" s="80" t="s">
        <v>618</v>
      </c>
      <c r="N133" s="63"/>
      <c r="Z133" s="28">
        <f>IF(AQ133="5",BJ133,0)</f>
        <v>0</v>
      </c>
      <c r="AB133" s="28">
        <f>IF(AQ133="1",BH133,0)</f>
        <v>0</v>
      </c>
      <c r="AC133" s="28">
        <f>IF(AQ133="1",BI133,0)</f>
        <v>0</v>
      </c>
      <c r="AD133" s="28">
        <f>IF(AQ133="7",BH133,0)</f>
        <v>0</v>
      </c>
      <c r="AE133" s="28">
        <f>IF(AQ133="7",BI133,0)</f>
        <v>0</v>
      </c>
      <c r="AF133" s="28">
        <f>IF(AQ133="2",BH133,0)</f>
        <v>0</v>
      </c>
      <c r="AG133" s="28">
        <f>IF(AQ133="2",BI133,0)</f>
        <v>0</v>
      </c>
      <c r="AH133" s="28">
        <f>IF(AQ133="0",BJ133,0)</f>
        <v>0</v>
      </c>
      <c r="AI133" s="27"/>
      <c r="AJ133" s="17">
        <f>IF(AN133=0,L133,0)</f>
        <v>0</v>
      </c>
      <c r="AK133" s="17">
        <f>IF(AN133=15,L133,0)</f>
        <v>0</v>
      </c>
      <c r="AL133" s="17">
        <f>IF(AN133=21,L133,0)</f>
        <v>0</v>
      </c>
      <c r="AN133" s="28">
        <v>21</v>
      </c>
      <c r="AO133" s="28">
        <f>I133*0.888773279679999</f>
        <v>0</v>
      </c>
      <c r="AP133" s="28">
        <f>I133*(1-0.888773279679999)</f>
        <v>0</v>
      </c>
      <c r="AQ133" s="29" t="s">
        <v>13</v>
      </c>
      <c r="AV133" s="28">
        <f>AW133+AX133</f>
        <v>0</v>
      </c>
      <c r="AW133" s="28">
        <f>H133*AO133</f>
        <v>0</v>
      </c>
      <c r="AX133" s="28">
        <f>H133*AP133</f>
        <v>0</v>
      </c>
      <c r="AY133" s="31" t="s">
        <v>640</v>
      </c>
      <c r="AZ133" s="31" t="s">
        <v>662</v>
      </c>
      <c r="BA133" s="27" t="s">
        <v>669</v>
      </c>
      <c r="BC133" s="28">
        <f>AW133+AX133</f>
        <v>0</v>
      </c>
      <c r="BD133" s="28">
        <f>I133/(100-BE133)*100</f>
        <v>0</v>
      </c>
      <c r="BE133" s="28">
        <v>0</v>
      </c>
      <c r="BF133" s="28">
        <f>133</f>
        <v>133</v>
      </c>
      <c r="BH133" s="17">
        <f>H133*AO133</f>
        <v>0</v>
      </c>
      <c r="BI133" s="17">
        <f>H133*AP133</f>
        <v>0</v>
      </c>
      <c r="BJ133" s="17">
        <f>H133*I133</f>
        <v>0</v>
      </c>
      <c r="BK133" s="17" t="s">
        <v>674</v>
      </c>
      <c r="BL133" s="28">
        <v>725</v>
      </c>
    </row>
    <row r="134" spans="1:14" s="86" customFormat="1" ht="25.5" customHeight="1">
      <c r="A134" s="84"/>
      <c r="B134" s="85" t="s">
        <v>139</v>
      </c>
      <c r="C134" s="103" t="s">
        <v>405</v>
      </c>
      <c r="D134" s="104"/>
      <c r="E134" s="104"/>
      <c r="F134" s="104"/>
      <c r="G134" s="104"/>
      <c r="H134" s="104"/>
      <c r="I134" s="104"/>
      <c r="J134" s="104"/>
      <c r="K134" s="104"/>
      <c r="L134" s="104"/>
      <c r="M134" s="105"/>
      <c r="N134" s="84"/>
    </row>
    <row r="135" spans="1:64" ht="12.75">
      <c r="A135" s="78" t="s">
        <v>59</v>
      </c>
      <c r="B135" s="78" t="s">
        <v>186</v>
      </c>
      <c r="C135" s="125" t="s">
        <v>406</v>
      </c>
      <c r="D135" s="107"/>
      <c r="E135" s="107"/>
      <c r="F135" s="126"/>
      <c r="G135" s="78" t="s">
        <v>599</v>
      </c>
      <c r="H135" s="79">
        <v>3</v>
      </c>
      <c r="I135" s="89">
        <v>0</v>
      </c>
      <c r="J135" s="79">
        <f>H135*AO135</f>
        <v>0</v>
      </c>
      <c r="K135" s="79">
        <f>H135*AP135</f>
        <v>0</v>
      </c>
      <c r="L135" s="79">
        <f>H135*I135</f>
        <v>0</v>
      </c>
      <c r="M135" s="80" t="s">
        <v>618</v>
      </c>
      <c r="N135" s="63"/>
      <c r="Z135" s="28">
        <f>IF(AQ135="5",BJ135,0)</f>
        <v>0</v>
      </c>
      <c r="AB135" s="28">
        <f>IF(AQ135="1",BH135,0)</f>
        <v>0</v>
      </c>
      <c r="AC135" s="28">
        <f>IF(AQ135="1",BI135,0)</f>
        <v>0</v>
      </c>
      <c r="AD135" s="28">
        <f>IF(AQ135="7",BH135,0)</f>
        <v>0</v>
      </c>
      <c r="AE135" s="28">
        <f>IF(AQ135="7",BI135,0)</f>
        <v>0</v>
      </c>
      <c r="AF135" s="28">
        <f>IF(AQ135="2",BH135,0)</f>
        <v>0</v>
      </c>
      <c r="AG135" s="28">
        <f>IF(AQ135="2",BI135,0)</f>
        <v>0</v>
      </c>
      <c r="AH135" s="28">
        <f>IF(AQ135="0",BJ135,0)</f>
        <v>0</v>
      </c>
      <c r="AI135" s="27"/>
      <c r="AJ135" s="17">
        <f>IF(AN135=0,L135,0)</f>
        <v>0</v>
      </c>
      <c r="AK135" s="17">
        <f>IF(AN135=15,L135,0)</f>
        <v>0</v>
      </c>
      <c r="AL135" s="17">
        <f>IF(AN135=21,L135,0)</f>
        <v>0</v>
      </c>
      <c r="AN135" s="28">
        <v>21</v>
      </c>
      <c r="AO135" s="28">
        <f>I135*0.803454913627159</f>
        <v>0</v>
      </c>
      <c r="AP135" s="28">
        <f>I135*(1-0.803454913627159)</f>
        <v>0</v>
      </c>
      <c r="AQ135" s="29" t="s">
        <v>13</v>
      </c>
      <c r="AV135" s="28">
        <f>AW135+AX135</f>
        <v>0</v>
      </c>
      <c r="AW135" s="28">
        <f>H135*AO135</f>
        <v>0</v>
      </c>
      <c r="AX135" s="28">
        <f>H135*AP135</f>
        <v>0</v>
      </c>
      <c r="AY135" s="31" t="s">
        <v>640</v>
      </c>
      <c r="AZ135" s="31" t="s">
        <v>662</v>
      </c>
      <c r="BA135" s="27" t="s">
        <v>669</v>
      </c>
      <c r="BC135" s="28">
        <f>AW135+AX135</f>
        <v>0</v>
      </c>
      <c r="BD135" s="28">
        <f>I135/(100-BE135)*100</f>
        <v>0</v>
      </c>
      <c r="BE135" s="28">
        <v>0</v>
      </c>
      <c r="BF135" s="28">
        <f>135</f>
        <v>135</v>
      </c>
      <c r="BH135" s="17">
        <f>H135*AO135</f>
        <v>0</v>
      </c>
      <c r="BI135" s="17">
        <f>H135*AP135</f>
        <v>0</v>
      </c>
      <c r="BJ135" s="17">
        <f>H135*I135</f>
        <v>0</v>
      </c>
      <c r="BK135" s="17" t="s">
        <v>674</v>
      </c>
      <c r="BL135" s="28">
        <v>725</v>
      </c>
    </row>
    <row r="136" spans="1:14" ht="12.75">
      <c r="A136" s="4"/>
      <c r="B136" s="13" t="s">
        <v>143</v>
      </c>
      <c r="C136" s="120" t="s">
        <v>407</v>
      </c>
      <c r="D136" s="121"/>
      <c r="E136" s="121"/>
      <c r="F136" s="121"/>
      <c r="G136" s="121"/>
      <c r="H136" s="121"/>
      <c r="I136" s="121"/>
      <c r="J136" s="121"/>
      <c r="K136" s="121"/>
      <c r="L136" s="121"/>
      <c r="M136" s="122"/>
      <c r="N136" s="4"/>
    </row>
    <row r="137" spans="1:14" s="86" customFormat="1" ht="12">
      <c r="A137" s="84"/>
      <c r="B137" s="85" t="s">
        <v>139</v>
      </c>
      <c r="C137" s="103" t="s">
        <v>408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84"/>
    </row>
    <row r="138" spans="1:64" ht="12.75">
      <c r="A138" s="78" t="s">
        <v>60</v>
      </c>
      <c r="B138" s="78" t="s">
        <v>191</v>
      </c>
      <c r="C138" s="125" t="s">
        <v>409</v>
      </c>
      <c r="D138" s="107"/>
      <c r="E138" s="107"/>
      <c r="F138" s="126"/>
      <c r="G138" s="78" t="s">
        <v>599</v>
      </c>
      <c r="H138" s="79">
        <v>3</v>
      </c>
      <c r="I138" s="89">
        <v>0</v>
      </c>
      <c r="J138" s="79">
        <f>H138*AO138</f>
        <v>0</v>
      </c>
      <c r="K138" s="79">
        <f>H138*AP138</f>
        <v>0</v>
      </c>
      <c r="L138" s="79">
        <f>H138*I138</f>
        <v>0</v>
      </c>
      <c r="M138" s="80" t="s">
        <v>618</v>
      </c>
      <c r="N138" s="63"/>
      <c r="Z138" s="28">
        <f>IF(AQ138="5",BJ138,0)</f>
        <v>0</v>
      </c>
      <c r="AB138" s="28">
        <f>IF(AQ138="1",BH138,0)</f>
        <v>0</v>
      </c>
      <c r="AC138" s="28">
        <f>IF(AQ138="1",BI138,0)</f>
        <v>0</v>
      </c>
      <c r="AD138" s="28">
        <f>IF(AQ138="7",BH138,0)</f>
        <v>0</v>
      </c>
      <c r="AE138" s="28">
        <f>IF(AQ138="7",BI138,0)</f>
        <v>0</v>
      </c>
      <c r="AF138" s="28">
        <f>IF(AQ138="2",BH138,0)</f>
        <v>0</v>
      </c>
      <c r="AG138" s="28">
        <f>IF(AQ138="2",BI138,0)</f>
        <v>0</v>
      </c>
      <c r="AH138" s="28">
        <f>IF(AQ138="0",BJ138,0)</f>
        <v>0</v>
      </c>
      <c r="AI138" s="27"/>
      <c r="AJ138" s="17">
        <f>IF(AN138=0,L138,0)</f>
        <v>0</v>
      </c>
      <c r="AK138" s="17">
        <f>IF(AN138=15,L138,0)</f>
        <v>0</v>
      </c>
      <c r="AL138" s="17">
        <f>IF(AN138=21,L138,0)</f>
        <v>0</v>
      </c>
      <c r="AN138" s="28">
        <v>21</v>
      </c>
      <c r="AO138" s="28">
        <f>I138*0.755456341724611</f>
        <v>0</v>
      </c>
      <c r="AP138" s="28">
        <f>I138*(1-0.755456341724611)</f>
        <v>0</v>
      </c>
      <c r="AQ138" s="29" t="s">
        <v>13</v>
      </c>
      <c r="AV138" s="28">
        <f>AW138+AX138</f>
        <v>0</v>
      </c>
      <c r="AW138" s="28">
        <f>H138*AO138</f>
        <v>0</v>
      </c>
      <c r="AX138" s="28">
        <f>H138*AP138</f>
        <v>0</v>
      </c>
      <c r="AY138" s="31" t="s">
        <v>640</v>
      </c>
      <c r="AZ138" s="31" t="s">
        <v>662</v>
      </c>
      <c r="BA138" s="27" t="s">
        <v>669</v>
      </c>
      <c r="BC138" s="28">
        <f>AW138+AX138</f>
        <v>0</v>
      </c>
      <c r="BD138" s="28">
        <f>I138/(100-BE138)*100</f>
        <v>0</v>
      </c>
      <c r="BE138" s="28">
        <v>0</v>
      </c>
      <c r="BF138" s="28">
        <f>138</f>
        <v>138</v>
      </c>
      <c r="BH138" s="17">
        <f>H138*AO138</f>
        <v>0</v>
      </c>
      <c r="BI138" s="17">
        <f>H138*AP138</f>
        <v>0</v>
      </c>
      <c r="BJ138" s="17">
        <f>H138*I138</f>
        <v>0</v>
      </c>
      <c r="BK138" s="17" t="s">
        <v>674</v>
      </c>
      <c r="BL138" s="28">
        <v>725</v>
      </c>
    </row>
    <row r="139" spans="1:14" ht="12.75">
      <c r="A139" s="4"/>
      <c r="B139" s="13" t="s">
        <v>143</v>
      </c>
      <c r="C139" s="120" t="s">
        <v>410</v>
      </c>
      <c r="D139" s="121"/>
      <c r="E139" s="121"/>
      <c r="F139" s="121"/>
      <c r="G139" s="121"/>
      <c r="H139" s="121"/>
      <c r="I139" s="121"/>
      <c r="J139" s="121"/>
      <c r="K139" s="121"/>
      <c r="L139" s="121"/>
      <c r="M139" s="122"/>
      <c r="N139" s="4"/>
    </row>
    <row r="140" spans="1:64" ht="12.75">
      <c r="A140" s="78" t="s">
        <v>61</v>
      </c>
      <c r="B140" s="78" t="s">
        <v>199</v>
      </c>
      <c r="C140" s="125" t="s">
        <v>411</v>
      </c>
      <c r="D140" s="107"/>
      <c r="E140" s="107"/>
      <c r="F140" s="126"/>
      <c r="G140" s="78" t="s">
        <v>599</v>
      </c>
      <c r="H140" s="79">
        <v>1</v>
      </c>
      <c r="I140" s="89">
        <v>0</v>
      </c>
      <c r="J140" s="79">
        <f>H140*AO140</f>
        <v>0</v>
      </c>
      <c r="K140" s="79">
        <f>H140*AP140</f>
        <v>0</v>
      </c>
      <c r="L140" s="79">
        <f>H140*I140</f>
        <v>0</v>
      </c>
      <c r="M140" s="80" t="s">
        <v>618</v>
      </c>
      <c r="N140" s="63"/>
      <c r="Z140" s="28">
        <f>IF(AQ140="5",BJ140,0)</f>
        <v>0</v>
      </c>
      <c r="AB140" s="28">
        <f>IF(AQ140="1",BH140,0)</f>
        <v>0</v>
      </c>
      <c r="AC140" s="28">
        <f>IF(AQ140="1",BI140,0)</f>
        <v>0</v>
      </c>
      <c r="AD140" s="28">
        <f>IF(AQ140="7",BH140,0)</f>
        <v>0</v>
      </c>
      <c r="AE140" s="28">
        <f>IF(AQ140="7",BI140,0)</f>
        <v>0</v>
      </c>
      <c r="AF140" s="28">
        <f>IF(AQ140="2",BH140,0)</f>
        <v>0</v>
      </c>
      <c r="AG140" s="28">
        <f>IF(AQ140="2",BI140,0)</f>
        <v>0</v>
      </c>
      <c r="AH140" s="28">
        <f>IF(AQ140="0",BJ140,0)</f>
        <v>0</v>
      </c>
      <c r="AI140" s="27"/>
      <c r="AJ140" s="17">
        <f>IF(AN140=0,L140,0)</f>
        <v>0</v>
      </c>
      <c r="AK140" s="17">
        <f>IF(AN140=15,L140,0)</f>
        <v>0</v>
      </c>
      <c r="AL140" s="17">
        <f>IF(AN140=21,L140,0)</f>
        <v>0</v>
      </c>
      <c r="AN140" s="28">
        <v>21</v>
      </c>
      <c r="AO140" s="28">
        <f>I140*0.460617391304348</f>
        <v>0</v>
      </c>
      <c r="AP140" s="28">
        <f>I140*(1-0.460617391304348)</f>
        <v>0</v>
      </c>
      <c r="AQ140" s="29" t="s">
        <v>13</v>
      </c>
      <c r="AV140" s="28">
        <f>AW140+AX140</f>
        <v>0</v>
      </c>
      <c r="AW140" s="28">
        <f>H140*AO140</f>
        <v>0</v>
      </c>
      <c r="AX140" s="28">
        <f>H140*AP140</f>
        <v>0</v>
      </c>
      <c r="AY140" s="31" t="s">
        <v>640</v>
      </c>
      <c r="AZ140" s="31" t="s">
        <v>662</v>
      </c>
      <c r="BA140" s="27" t="s">
        <v>669</v>
      </c>
      <c r="BC140" s="28">
        <f>AW140+AX140</f>
        <v>0</v>
      </c>
      <c r="BD140" s="28">
        <f>I140/(100-BE140)*100</f>
        <v>0</v>
      </c>
      <c r="BE140" s="28">
        <v>0</v>
      </c>
      <c r="BF140" s="28">
        <f>140</f>
        <v>140</v>
      </c>
      <c r="BH140" s="17">
        <f>H140*AO140</f>
        <v>0</v>
      </c>
      <c r="BI140" s="17">
        <f>H140*AP140</f>
        <v>0</v>
      </c>
      <c r="BJ140" s="17">
        <f>H140*I140</f>
        <v>0</v>
      </c>
      <c r="BK140" s="17" t="s">
        <v>674</v>
      </c>
      <c r="BL140" s="28">
        <v>725</v>
      </c>
    </row>
    <row r="141" spans="1:14" s="86" customFormat="1" ht="25.5" customHeight="1">
      <c r="A141" s="84"/>
      <c r="B141" s="85" t="s">
        <v>139</v>
      </c>
      <c r="C141" s="103" t="s">
        <v>412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5"/>
      <c r="N141" s="84"/>
    </row>
    <row r="142" spans="1:47" ht="12.75">
      <c r="A142" s="69"/>
      <c r="B142" s="70" t="s">
        <v>200</v>
      </c>
      <c r="C142" s="108" t="s">
        <v>413</v>
      </c>
      <c r="D142" s="109"/>
      <c r="E142" s="109"/>
      <c r="F142" s="109"/>
      <c r="G142" s="71" t="s">
        <v>6</v>
      </c>
      <c r="H142" s="71" t="s">
        <v>6</v>
      </c>
      <c r="I142" s="94" t="s">
        <v>6</v>
      </c>
      <c r="J142" s="72">
        <f>SUM(J143:J143)</f>
        <v>0</v>
      </c>
      <c r="K142" s="72">
        <f>SUM(K143:K143)</f>
        <v>0</v>
      </c>
      <c r="L142" s="72">
        <f>SUM(L143:L143)</f>
        <v>0</v>
      </c>
      <c r="M142" s="73"/>
      <c r="N142" s="4"/>
      <c r="AI142" s="27"/>
      <c r="AS142" s="33">
        <f>SUM(AJ143:AJ143)</f>
        <v>0</v>
      </c>
      <c r="AT142" s="33">
        <f>SUM(AK143:AK143)</f>
        <v>0</v>
      </c>
      <c r="AU142" s="33">
        <f>SUM(AL143:AL143)</f>
        <v>0</v>
      </c>
    </row>
    <row r="143" spans="1:64" ht="12.75">
      <c r="A143" s="78" t="s">
        <v>62</v>
      </c>
      <c r="B143" s="78" t="s">
        <v>201</v>
      </c>
      <c r="C143" s="125" t="s">
        <v>414</v>
      </c>
      <c r="D143" s="107"/>
      <c r="E143" s="107"/>
      <c r="F143" s="126"/>
      <c r="G143" s="78" t="s">
        <v>597</v>
      </c>
      <c r="H143" s="79">
        <v>2</v>
      </c>
      <c r="I143" s="89">
        <v>0</v>
      </c>
      <c r="J143" s="79">
        <f>H143*AO143</f>
        <v>0</v>
      </c>
      <c r="K143" s="79">
        <f>H143*AP143</f>
        <v>0</v>
      </c>
      <c r="L143" s="79">
        <f>H143*I143</f>
        <v>0</v>
      </c>
      <c r="M143" s="80" t="s">
        <v>618</v>
      </c>
      <c r="N143" s="63"/>
      <c r="Z143" s="28">
        <f>IF(AQ143="5",BJ143,0)</f>
        <v>0</v>
      </c>
      <c r="AB143" s="28">
        <f>IF(AQ143="1",BH143,0)</f>
        <v>0</v>
      </c>
      <c r="AC143" s="28">
        <f>IF(AQ143="1",BI143,0)</f>
        <v>0</v>
      </c>
      <c r="AD143" s="28">
        <f>IF(AQ143="7",BH143,0)</f>
        <v>0</v>
      </c>
      <c r="AE143" s="28">
        <f>IF(AQ143="7",BI143,0)</f>
        <v>0</v>
      </c>
      <c r="AF143" s="28">
        <f>IF(AQ143="2",BH143,0)</f>
        <v>0</v>
      </c>
      <c r="AG143" s="28">
        <f>IF(AQ143="2",BI143,0)</f>
        <v>0</v>
      </c>
      <c r="AH143" s="28">
        <f>IF(AQ143="0",BJ143,0)</f>
        <v>0</v>
      </c>
      <c r="AI143" s="27"/>
      <c r="AJ143" s="17">
        <f>IF(AN143=0,L143,0)</f>
        <v>0</v>
      </c>
      <c r="AK143" s="17">
        <f>IF(AN143=15,L143,0)</f>
        <v>0</v>
      </c>
      <c r="AL143" s="17">
        <f>IF(AN143=21,L143,0)</f>
        <v>0</v>
      </c>
      <c r="AN143" s="28">
        <v>21</v>
      </c>
      <c r="AO143" s="28">
        <f>I143*0.608894067385183</f>
        <v>0</v>
      </c>
      <c r="AP143" s="28">
        <f>I143*(1-0.608894067385183)</f>
        <v>0</v>
      </c>
      <c r="AQ143" s="29" t="s">
        <v>13</v>
      </c>
      <c r="AV143" s="28">
        <f>AW143+AX143</f>
        <v>0</v>
      </c>
      <c r="AW143" s="28">
        <f>H143*AO143</f>
        <v>0</v>
      </c>
      <c r="AX143" s="28">
        <f>H143*AP143</f>
        <v>0</v>
      </c>
      <c r="AY143" s="31" t="s">
        <v>641</v>
      </c>
      <c r="AZ143" s="31" t="s">
        <v>663</v>
      </c>
      <c r="BA143" s="27" t="s">
        <v>669</v>
      </c>
      <c r="BC143" s="28">
        <f>AW143+AX143</f>
        <v>0</v>
      </c>
      <c r="BD143" s="28">
        <f>I143/(100-BE143)*100</f>
        <v>0</v>
      </c>
      <c r="BE143" s="28">
        <v>0</v>
      </c>
      <c r="BF143" s="28">
        <f>143</f>
        <v>143</v>
      </c>
      <c r="BH143" s="17">
        <f>H143*AO143</f>
        <v>0</v>
      </c>
      <c r="BI143" s="17">
        <f>H143*AP143</f>
        <v>0</v>
      </c>
      <c r="BJ143" s="17">
        <f>H143*I143</f>
        <v>0</v>
      </c>
      <c r="BK143" s="17" t="s">
        <v>674</v>
      </c>
      <c r="BL143" s="28">
        <v>734</v>
      </c>
    </row>
    <row r="144" spans="1:47" ht="12.75">
      <c r="A144" s="69"/>
      <c r="B144" s="70" t="s">
        <v>202</v>
      </c>
      <c r="C144" s="108" t="s">
        <v>415</v>
      </c>
      <c r="D144" s="109"/>
      <c r="E144" s="109"/>
      <c r="F144" s="109"/>
      <c r="G144" s="71" t="s">
        <v>6</v>
      </c>
      <c r="H144" s="71" t="s">
        <v>6</v>
      </c>
      <c r="I144" s="94" t="s">
        <v>6</v>
      </c>
      <c r="J144" s="72">
        <f>SUM(J145:J149)</f>
        <v>0</v>
      </c>
      <c r="K144" s="72">
        <f>SUM(K145:K149)</f>
        <v>0</v>
      </c>
      <c r="L144" s="72">
        <f>SUM(L145:L149)</f>
        <v>0</v>
      </c>
      <c r="M144" s="73"/>
      <c r="N144" s="4"/>
      <c r="AI144" s="27"/>
      <c r="AS144" s="33">
        <f>SUM(AJ145:AJ149)</f>
        <v>0</v>
      </c>
      <c r="AT144" s="33">
        <f>SUM(AK145:AK149)</f>
        <v>0</v>
      </c>
      <c r="AU144" s="33">
        <f>SUM(AL145:AL149)</f>
        <v>0</v>
      </c>
    </row>
    <row r="145" spans="1:64" ht="12.75">
      <c r="A145" s="75" t="s">
        <v>63</v>
      </c>
      <c r="B145" s="75" t="s">
        <v>203</v>
      </c>
      <c r="C145" s="123" t="s">
        <v>416</v>
      </c>
      <c r="D145" s="107"/>
      <c r="E145" s="107"/>
      <c r="F145" s="124"/>
      <c r="G145" s="75" t="s">
        <v>594</v>
      </c>
      <c r="H145" s="76">
        <v>1.3472</v>
      </c>
      <c r="I145" s="95">
        <v>0</v>
      </c>
      <c r="J145" s="76">
        <f>H145*AO145</f>
        <v>0</v>
      </c>
      <c r="K145" s="76">
        <f>H145*AP145</f>
        <v>0</v>
      </c>
      <c r="L145" s="76">
        <f>H145*I145</f>
        <v>0</v>
      </c>
      <c r="M145" s="77" t="s">
        <v>618</v>
      </c>
      <c r="N145" s="63"/>
      <c r="Z145" s="28">
        <f>IF(AQ145="5",BJ145,0)</f>
        <v>0</v>
      </c>
      <c r="AB145" s="28">
        <f>IF(AQ145="1",BH145,0)</f>
        <v>0</v>
      </c>
      <c r="AC145" s="28">
        <f>IF(AQ145="1",BI145,0)</f>
        <v>0</v>
      </c>
      <c r="AD145" s="28">
        <f>IF(AQ145="7",BH145,0)</f>
        <v>0</v>
      </c>
      <c r="AE145" s="28">
        <f>IF(AQ145="7",BI145,0)</f>
        <v>0</v>
      </c>
      <c r="AF145" s="28">
        <f>IF(AQ145="2",BH145,0)</f>
        <v>0</v>
      </c>
      <c r="AG145" s="28">
        <f>IF(AQ145="2",BI145,0)</f>
        <v>0</v>
      </c>
      <c r="AH145" s="28">
        <f>IF(AQ145="0",BJ145,0)</f>
        <v>0</v>
      </c>
      <c r="AI145" s="27"/>
      <c r="AJ145" s="17">
        <f>IF(AN145=0,L145,0)</f>
        <v>0</v>
      </c>
      <c r="AK145" s="17">
        <f>IF(AN145=15,L145,0)</f>
        <v>0</v>
      </c>
      <c r="AL145" s="17">
        <f>IF(AN145=21,L145,0)</f>
        <v>0</v>
      </c>
      <c r="AN145" s="28">
        <v>21</v>
      </c>
      <c r="AO145" s="28">
        <f>I145*0</f>
        <v>0</v>
      </c>
      <c r="AP145" s="28">
        <f>I145*(1-0)</f>
        <v>0</v>
      </c>
      <c r="AQ145" s="29" t="s">
        <v>13</v>
      </c>
      <c r="AV145" s="28">
        <f>AW145+AX145</f>
        <v>0</v>
      </c>
      <c r="AW145" s="28">
        <f>H145*AO145</f>
        <v>0</v>
      </c>
      <c r="AX145" s="28">
        <f>H145*AP145</f>
        <v>0</v>
      </c>
      <c r="AY145" s="31" t="s">
        <v>642</v>
      </c>
      <c r="AZ145" s="31" t="s">
        <v>663</v>
      </c>
      <c r="BA145" s="27" t="s">
        <v>669</v>
      </c>
      <c r="BC145" s="28">
        <f>AW145+AX145</f>
        <v>0</v>
      </c>
      <c r="BD145" s="28">
        <f>I145/(100-BE145)*100</f>
        <v>0</v>
      </c>
      <c r="BE145" s="28">
        <v>0</v>
      </c>
      <c r="BF145" s="28">
        <f>145</f>
        <v>145</v>
      </c>
      <c r="BH145" s="17">
        <f>H145*AO145</f>
        <v>0</v>
      </c>
      <c r="BI145" s="17">
        <f>H145*AP145</f>
        <v>0</v>
      </c>
      <c r="BJ145" s="17">
        <f>H145*I145</f>
        <v>0</v>
      </c>
      <c r="BK145" s="17" t="s">
        <v>674</v>
      </c>
      <c r="BL145" s="28">
        <v>735</v>
      </c>
    </row>
    <row r="146" spans="1:64" ht="12.75">
      <c r="A146" s="75" t="s">
        <v>64</v>
      </c>
      <c r="B146" s="75" t="s">
        <v>204</v>
      </c>
      <c r="C146" s="123" t="s">
        <v>417</v>
      </c>
      <c r="D146" s="107"/>
      <c r="E146" s="107"/>
      <c r="F146" s="124"/>
      <c r="G146" s="75" t="s">
        <v>597</v>
      </c>
      <c r="H146" s="76">
        <v>1</v>
      </c>
      <c r="I146" s="95">
        <v>0</v>
      </c>
      <c r="J146" s="76">
        <f>H146*AO146</f>
        <v>0</v>
      </c>
      <c r="K146" s="76">
        <f>H146*AP146</f>
        <v>0</v>
      </c>
      <c r="L146" s="76">
        <f>H146*I146</f>
        <v>0</v>
      </c>
      <c r="M146" s="77" t="s">
        <v>618</v>
      </c>
      <c r="N146" s="63"/>
      <c r="Z146" s="28">
        <f>IF(AQ146="5",BJ146,0)</f>
        <v>0</v>
      </c>
      <c r="AB146" s="28">
        <f>IF(AQ146="1",BH146,0)</f>
        <v>0</v>
      </c>
      <c r="AC146" s="28">
        <f>IF(AQ146="1",BI146,0)</f>
        <v>0</v>
      </c>
      <c r="AD146" s="28">
        <f>IF(AQ146="7",BH146,0)</f>
        <v>0</v>
      </c>
      <c r="AE146" s="28">
        <f>IF(AQ146="7",BI146,0)</f>
        <v>0</v>
      </c>
      <c r="AF146" s="28">
        <f>IF(AQ146="2",BH146,0)</f>
        <v>0</v>
      </c>
      <c r="AG146" s="28">
        <f>IF(AQ146="2",BI146,0)</f>
        <v>0</v>
      </c>
      <c r="AH146" s="28">
        <f>IF(AQ146="0",BJ146,0)</f>
        <v>0</v>
      </c>
      <c r="AI146" s="27"/>
      <c r="AJ146" s="17">
        <f>IF(AN146=0,L146,0)</f>
        <v>0</v>
      </c>
      <c r="AK146" s="17">
        <f>IF(AN146=15,L146,0)</f>
        <v>0</v>
      </c>
      <c r="AL146" s="17">
        <f>IF(AN146=21,L146,0)</f>
        <v>0</v>
      </c>
      <c r="AN146" s="28">
        <v>21</v>
      </c>
      <c r="AO146" s="28">
        <f>I146*0.953950743971267</f>
        <v>0</v>
      </c>
      <c r="AP146" s="28">
        <f>I146*(1-0.953950743971267)</f>
        <v>0</v>
      </c>
      <c r="AQ146" s="29" t="s">
        <v>13</v>
      </c>
      <c r="AV146" s="28">
        <f>AW146+AX146</f>
        <v>0</v>
      </c>
      <c r="AW146" s="28">
        <f>H146*AO146</f>
        <v>0</v>
      </c>
      <c r="AX146" s="28">
        <f>H146*AP146</f>
        <v>0</v>
      </c>
      <c r="AY146" s="31" t="s">
        <v>642</v>
      </c>
      <c r="AZ146" s="31" t="s">
        <v>663</v>
      </c>
      <c r="BA146" s="27" t="s">
        <v>669</v>
      </c>
      <c r="BC146" s="28">
        <f>AW146+AX146</f>
        <v>0</v>
      </c>
      <c r="BD146" s="28">
        <f>I146/(100-BE146)*100</f>
        <v>0</v>
      </c>
      <c r="BE146" s="28">
        <v>0</v>
      </c>
      <c r="BF146" s="28">
        <f>146</f>
        <v>146</v>
      </c>
      <c r="BH146" s="17">
        <f>H146*AO146</f>
        <v>0</v>
      </c>
      <c r="BI146" s="17">
        <f>H146*AP146</f>
        <v>0</v>
      </c>
      <c r="BJ146" s="17">
        <f>H146*I146</f>
        <v>0</v>
      </c>
      <c r="BK146" s="17" t="s">
        <v>674</v>
      </c>
      <c r="BL146" s="28">
        <v>735</v>
      </c>
    </row>
    <row r="147" spans="1:64" ht="12.75">
      <c r="A147" s="75" t="s">
        <v>65</v>
      </c>
      <c r="B147" s="75" t="s">
        <v>205</v>
      </c>
      <c r="C147" s="123" t="s">
        <v>418</v>
      </c>
      <c r="D147" s="107"/>
      <c r="E147" s="107"/>
      <c r="F147" s="124"/>
      <c r="G147" s="75" t="s">
        <v>597</v>
      </c>
      <c r="H147" s="76">
        <v>1</v>
      </c>
      <c r="I147" s="95">
        <v>0</v>
      </c>
      <c r="J147" s="76">
        <f>H147*AO147</f>
        <v>0</v>
      </c>
      <c r="K147" s="76">
        <f>H147*AP147</f>
        <v>0</v>
      </c>
      <c r="L147" s="76">
        <f>H147*I147</f>
        <v>0</v>
      </c>
      <c r="M147" s="77" t="s">
        <v>618</v>
      </c>
      <c r="N147" s="63"/>
      <c r="Z147" s="28">
        <f>IF(AQ147="5",BJ147,0)</f>
        <v>0</v>
      </c>
      <c r="AB147" s="28">
        <f>IF(AQ147="1",BH147,0)</f>
        <v>0</v>
      </c>
      <c r="AC147" s="28">
        <f>IF(AQ147="1",BI147,0)</f>
        <v>0</v>
      </c>
      <c r="AD147" s="28">
        <f>IF(AQ147="7",BH147,0)</f>
        <v>0</v>
      </c>
      <c r="AE147" s="28">
        <f>IF(AQ147="7",BI147,0)</f>
        <v>0</v>
      </c>
      <c r="AF147" s="28">
        <f>IF(AQ147="2",BH147,0)</f>
        <v>0</v>
      </c>
      <c r="AG147" s="28">
        <f>IF(AQ147="2",BI147,0)</f>
        <v>0</v>
      </c>
      <c r="AH147" s="28">
        <f>IF(AQ147="0",BJ147,0)</f>
        <v>0</v>
      </c>
      <c r="AI147" s="27"/>
      <c r="AJ147" s="17">
        <f>IF(AN147=0,L147,0)</f>
        <v>0</v>
      </c>
      <c r="AK147" s="17">
        <f>IF(AN147=15,L147,0)</f>
        <v>0</v>
      </c>
      <c r="AL147" s="17">
        <f>IF(AN147=21,L147,0)</f>
        <v>0</v>
      </c>
      <c r="AN147" s="28">
        <v>21</v>
      </c>
      <c r="AO147" s="28">
        <f>I147*0.944467265725289</f>
        <v>0</v>
      </c>
      <c r="AP147" s="28">
        <f>I147*(1-0.944467265725289)</f>
        <v>0</v>
      </c>
      <c r="AQ147" s="29" t="s">
        <v>13</v>
      </c>
      <c r="AV147" s="28">
        <f>AW147+AX147</f>
        <v>0</v>
      </c>
      <c r="AW147" s="28">
        <f>H147*AO147</f>
        <v>0</v>
      </c>
      <c r="AX147" s="28">
        <f>H147*AP147</f>
        <v>0</v>
      </c>
      <c r="AY147" s="31" t="s">
        <v>642</v>
      </c>
      <c r="AZ147" s="31" t="s">
        <v>663</v>
      </c>
      <c r="BA147" s="27" t="s">
        <v>669</v>
      </c>
      <c r="BC147" s="28">
        <f>AW147+AX147</f>
        <v>0</v>
      </c>
      <c r="BD147" s="28">
        <f>I147/(100-BE147)*100</f>
        <v>0</v>
      </c>
      <c r="BE147" s="28">
        <v>0</v>
      </c>
      <c r="BF147" s="28">
        <f>147</f>
        <v>147</v>
      </c>
      <c r="BH147" s="17">
        <f>H147*AO147</f>
        <v>0</v>
      </c>
      <c r="BI147" s="17">
        <f>H147*AP147</f>
        <v>0</v>
      </c>
      <c r="BJ147" s="17">
        <f>H147*I147</f>
        <v>0</v>
      </c>
      <c r="BK147" s="17" t="s">
        <v>674</v>
      </c>
      <c r="BL147" s="28">
        <v>735</v>
      </c>
    </row>
    <row r="148" spans="1:64" ht="12.75">
      <c r="A148" s="75" t="s">
        <v>66</v>
      </c>
      <c r="B148" s="75" t="s">
        <v>206</v>
      </c>
      <c r="C148" s="123" t="s">
        <v>419</v>
      </c>
      <c r="D148" s="107"/>
      <c r="E148" s="107"/>
      <c r="F148" s="124"/>
      <c r="G148" s="75" t="s">
        <v>597</v>
      </c>
      <c r="H148" s="76">
        <v>2</v>
      </c>
      <c r="I148" s="95">
        <v>0</v>
      </c>
      <c r="J148" s="76">
        <f>H148*AO148</f>
        <v>0</v>
      </c>
      <c r="K148" s="76">
        <f>H148*AP148</f>
        <v>0</v>
      </c>
      <c r="L148" s="76">
        <f>H148*I148</f>
        <v>0</v>
      </c>
      <c r="M148" s="77" t="s">
        <v>618</v>
      </c>
      <c r="N148" s="63"/>
      <c r="Z148" s="28">
        <f>IF(AQ148="5",BJ148,0)</f>
        <v>0</v>
      </c>
      <c r="AB148" s="28">
        <f>IF(AQ148="1",BH148,0)</f>
        <v>0</v>
      </c>
      <c r="AC148" s="28">
        <f>IF(AQ148="1",BI148,0)</f>
        <v>0</v>
      </c>
      <c r="AD148" s="28">
        <f>IF(AQ148="7",BH148,0)</f>
        <v>0</v>
      </c>
      <c r="AE148" s="28">
        <f>IF(AQ148="7",BI148,0)</f>
        <v>0</v>
      </c>
      <c r="AF148" s="28">
        <f>IF(AQ148="2",BH148,0)</f>
        <v>0</v>
      </c>
      <c r="AG148" s="28">
        <f>IF(AQ148="2",BI148,0)</f>
        <v>0</v>
      </c>
      <c r="AH148" s="28">
        <f>IF(AQ148="0",BJ148,0)</f>
        <v>0</v>
      </c>
      <c r="AI148" s="27"/>
      <c r="AJ148" s="17">
        <f>IF(AN148=0,L148,0)</f>
        <v>0</v>
      </c>
      <c r="AK148" s="17">
        <f>IF(AN148=15,L148,0)</f>
        <v>0</v>
      </c>
      <c r="AL148" s="17">
        <f>IF(AN148=21,L148,0)</f>
        <v>0</v>
      </c>
      <c r="AN148" s="28">
        <v>21</v>
      </c>
      <c r="AO148" s="28">
        <f>I148*0.00954869358669834</f>
        <v>0</v>
      </c>
      <c r="AP148" s="28">
        <f>I148*(1-0.00954869358669834)</f>
        <v>0</v>
      </c>
      <c r="AQ148" s="29" t="s">
        <v>13</v>
      </c>
      <c r="AV148" s="28">
        <f>AW148+AX148</f>
        <v>0</v>
      </c>
      <c r="AW148" s="28">
        <f>H148*AO148</f>
        <v>0</v>
      </c>
      <c r="AX148" s="28">
        <f>H148*AP148</f>
        <v>0</v>
      </c>
      <c r="AY148" s="31" t="s">
        <v>642</v>
      </c>
      <c r="AZ148" s="31" t="s">
        <v>663</v>
      </c>
      <c r="BA148" s="27" t="s">
        <v>669</v>
      </c>
      <c r="BC148" s="28">
        <f>AW148+AX148</f>
        <v>0</v>
      </c>
      <c r="BD148" s="28">
        <f>I148/(100-BE148)*100</f>
        <v>0</v>
      </c>
      <c r="BE148" s="28">
        <v>0</v>
      </c>
      <c r="BF148" s="28">
        <f>148</f>
        <v>148</v>
      </c>
      <c r="BH148" s="17">
        <f>H148*AO148</f>
        <v>0</v>
      </c>
      <c r="BI148" s="17">
        <f>H148*AP148</f>
        <v>0</v>
      </c>
      <c r="BJ148" s="17">
        <f>H148*I148</f>
        <v>0</v>
      </c>
      <c r="BK148" s="17" t="s">
        <v>674</v>
      </c>
      <c r="BL148" s="28">
        <v>735</v>
      </c>
    </row>
    <row r="149" spans="1:64" ht="12.75">
      <c r="A149" s="78" t="s">
        <v>67</v>
      </c>
      <c r="B149" s="78" t="s">
        <v>207</v>
      </c>
      <c r="C149" s="125" t="s">
        <v>420</v>
      </c>
      <c r="D149" s="107"/>
      <c r="E149" s="107"/>
      <c r="F149" s="126"/>
      <c r="G149" s="78" t="s">
        <v>597</v>
      </c>
      <c r="H149" s="79">
        <v>2</v>
      </c>
      <c r="I149" s="89">
        <v>0</v>
      </c>
      <c r="J149" s="79">
        <f>H149*AO149</f>
        <v>0</v>
      </c>
      <c r="K149" s="79">
        <f>H149*AP149</f>
        <v>0</v>
      </c>
      <c r="L149" s="79">
        <f>H149*I149</f>
        <v>0</v>
      </c>
      <c r="M149" s="80" t="s">
        <v>618</v>
      </c>
      <c r="N149" s="63"/>
      <c r="Z149" s="28">
        <f>IF(AQ149="5",BJ149,0)</f>
        <v>0</v>
      </c>
      <c r="AB149" s="28">
        <f>IF(AQ149="1",BH149,0)</f>
        <v>0</v>
      </c>
      <c r="AC149" s="28">
        <f>IF(AQ149="1",BI149,0)</f>
        <v>0</v>
      </c>
      <c r="AD149" s="28">
        <f>IF(AQ149="7",BH149,0)</f>
        <v>0</v>
      </c>
      <c r="AE149" s="28">
        <f>IF(AQ149="7",BI149,0)</f>
        <v>0</v>
      </c>
      <c r="AF149" s="28">
        <f>IF(AQ149="2",BH149,0)</f>
        <v>0</v>
      </c>
      <c r="AG149" s="28">
        <f>IF(AQ149="2",BI149,0)</f>
        <v>0</v>
      </c>
      <c r="AH149" s="28">
        <f>IF(AQ149="0",BJ149,0)</f>
        <v>0</v>
      </c>
      <c r="AI149" s="27"/>
      <c r="AJ149" s="17">
        <f>IF(AN149=0,L149,0)</f>
        <v>0</v>
      </c>
      <c r="AK149" s="17">
        <f>IF(AN149=15,L149,0)</f>
        <v>0</v>
      </c>
      <c r="AL149" s="17">
        <f>IF(AN149=21,L149,0)</f>
        <v>0</v>
      </c>
      <c r="AN149" s="28">
        <v>21</v>
      </c>
      <c r="AO149" s="28">
        <f>I149*0</f>
        <v>0</v>
      </c>
      <c r="AP149" s="28">
        <f>I149*(1-0)</f>
        <v>0</v>
      </c>
      <c r="AQ149" s="29" t="s">
        <v>13</v>
      </c>
      <c r="AV149" s="28">
        <f>AW149+AX149</f>
        <v>0</v>
      </c>
      <c r="AW149" s="28">
        <f>H149*AO149</f>
        <v>0</v>
      </c>
      <c r="AX149" s="28">
        <f>H149*AP149</f>
        <v>0</v>
      </c>
      <c r="AY149" s="31" t="s">
        <v>642</v>
      </c>
      <c r="AZ149" s="31" t="s">
        <v>663</v>
      </c>
      <c r="BA149" s="27" t="s">
        <v>669</v>
      </c>
      <c r="BC149" s="28">
        <f>AW149+AX149</f>
        <v>0</v>
      </c>
      <c r="BD149" s="28">
        <f>I149/(100-BE149)*100</f>
        <v>0</v>
      </c>
      <c r="BE149" s="28">
        <v>0</v>
      </c>
      <c r="BF149" s="28">
        <f>149</f>
        <v>149</v>
      </c>
      <c r="BH149" s="17">
        <f>H149*AO149</f>
        <v>0</v>
      </c>
      <c r="BI149" s="17">
        <f>H149*AP149</f>
        <v>0</v>
      </c>
      <c r="BJ149" s="17">
        <f>H149*I149</f>
        <v>0</v>
      </c>
      <c r="BK149" s="17" t="s">
        <v>674</v>
      </c>
      <c r="BL149" s="28">
        <v>735</v>
      </c>
    </row>
    <row r="150" spans="1:47" ht="12.75">
      <c r="A150" s="69"/>
      <c r="B150" s="70" t="s">
        <v>208</v>
      </c>
      <c r="C150" s="108" t="s">
        <v>421</v>
      </c>
      <c r="D150" s="109"/>
      <c r="E150" s="109"/>
      <c r="F150" s="109"/>
      <c r="G150" s="71" t="s">
        <v>6</v>
      </c>
      <c r="H150" s="71" t="s">
        <v>6</v>
      </c>
      <c r="I150" s="94" t="s">
        <v>6</v>
      </c>
      <c r="J150" s="72">
        <f>SUM(J151:J157)</f>
        <v>0</v>
      </c>
      <c r="K150" s="72">
        <f>SUM(K151:K157)</f>
        <v>0</v>
      </c>
      <c r="L150" s="72">
        <f>SUM(L151:L157)</f>
        <v>0</v>
      </c>
      <c r="M150" s="73"/>
      <c r="N150" s="4"/>
      <c r="AI150" s="27"/>
      <c r="AS150" s="33">
        <f>SUM(AJ151:AJ157)</f>
        <v>0</v>
      </c>
      <c r="AT150" s="33">
        <f>SUM(AK151:AK157)</f>
        <v>0</v>
      </c>
      <c r="AU150" s="33">
        <f>SUM(AL151:AL157)</f>
        <v>0</v>
      </c>
    </row>
    <row r="151" spans="1:64" ht="12.75">
      <c r="A151" s="3" t="s">
        <v>68</v>
      </c>
      <c r="B151" s="11" t="s">
        <v>209</v>
      </c>
      <c r="C151" s="106" t="s">
        <v>422</v>
      </c>
      <c r="D151" s="107"/>
      <c r="E151" s="107"/>
      <c r="F151" s="107"/>
      <c r="G151" s="11" t="s">
        <v>594</v>
      </c>
      <c r="H151" s="17">
        <v>27.4801</v>
      </c>
      <c r="I151" s="93">
        <v>0</v>
      </c>
      <c r="J151" s="17">
        <f>H151*AO151</f>
        <v>0</v>
      </c>
      <c r="K151" s="17">
        <f>H151*AP151</f>
        <v>0</v>
      </c>
      <c r="L151" s="17">
        <f>H151*I151</f>
        <v>0</v>
      </c>
      <c r="M151" s="24" t="s">
        <v>618</v>
      </c>
      <c r="N151" s="4"/>
      <c r="Z151" s="28">
        <f>IF(AQ151="5",BJ151,0)</f>
        <v>0</v>
      </c>
      <c r="AB151" s="28">
        <f>IF(AQ151="1",BH151,0)</f>
        <v>0</v>
      </c>
      <c r="AC151" s="28">
        <f>IF(AQ151="1",BI151,0)</f>
        <v>0</v>
      </c>
      <c r="AD151" s="28">
        <f>IF(AQ151="7",BH151,0)</f>
        <v>0</v>
      </c>
      <c r="AE151" s="28">
        <f>IF(AQ151="7",BI151,0)</f>
        <v>0</v>
      </c>
      <c r="AF151" s="28">
        <f>IF(AQ151="2",BH151,0)</f>
        <v>0</v>
      </c>
      <c r="AG151" s="28">
        <f>IF(AQ151="2",BI151,0)</f>
        <v>0</v>
      </c>
      <c r="AH151" s="28">
        <f>IF(AQ151="0",BJ151,0)</f>
        <v>0</v>
      </c>
      <c r="AI151" s="27"/>
      <c r="AJ151" s="17">
        <f>IF(AN151=0,L151,0)</f>
        <v>0</v>
      </c>
      <c r="AK151" s="17">
        <f>IF(AN151=15,L151,0)</f>
        <v>0</v>
      </c>
      <c r="AL151" s="17">
        <f>IF(AN151=21,L151,0)</f>
        <v>0</v>
      </c>
      <c r="AN151" s="28">
        <v>21</v>
      </c>
      <c r="AO151" s="28">
        <f>I151*0</f>
        <v>0</v>
      </c>
      <c r="AP151" s="28">
        <f>I151*(1-0)</f>
        <v>0</v>
      </c>
      <c r="AQ151" s="29" t="s">
        <v>13</v>
      </c>
      <c r="AV151" s="28">
        <f>AW151+AX151</f>
        <v>0</v>
      </c>
      <c r="AW151" s="28">
        <f>H151*AO151</f>
        <v>0</v>
      </c>
      <c r="AX151" s="28">
        <f>H151*AP151</f>
        <v>0</v>
      </c>
      <c r="AY151" s="31" t="s">
        <v>643</v>
      </c>
      <c r="AZ151" s="31" t="s">
        <v>664</v>
      </c>
      <c r="BA151" s="27" t="s">
        <v>669</v>
      </c>
      <c r="BC151" s="28">
        <f>AW151+AX151</f>
        <v>0</v>
      </c>
      <c r="BD151" s="28">
        <f>I151/(100-BE151)*100</f>
        <v>0</v>
      </c>
      <c r="BE151" s="28">
        <v>0</v>
      </c>
      <c r="BF151" s="28">
        <f>151</f>
        <v>151</v>
      </c>
      <c r="BH151" s="17">
        <f>H151*AO151</f>
        <v>0</v>
      </c>
      <c r="BI151" s="17">
        <f>H151*AP151</f>
        <v>0</v>
      </c>
      <c r="BJ151" s="17">
        <f>H151*I151</f>
        <v>0</v>
      </c>
      <c r="BK151" s="17" t="s">
        <v>674</v>
      </c>
      <c r="BL151" s="28">
        <v>771</v>
      </c>
    </row>
    <row r="152" spans="1:14" ht="38.25" customHeight="1">
      <c r="A152" s="4"/>
      <c r="B152" s="13" t="s">
        <v>144</v>
      </c>
      <c r="C152" s="115" t="s">
        <v>423</v>
      </c>
      <c r="D152" s="116"/>
      <c r="E152" s="116"/>
      <c r="F152" s="116"/>
      <c r="G152" s="116"/>
      <c r="H152" s="116"/>
      <c r="I152" s="116"/>
      <c r="J152" s="116"/>
      <c r="K152" s="116"/>
      <c r="L152" s="116"/>
      <c r="M152" s="117"/>
      <c r="N152" s="4"/>
    </row>
    <row r="153" spans="1:64" ht="12.75">
      <c r="A153" s="3" t="s">
        <v>69</v>
      </c>
      <c r="B153" s="11" t="s">
        <v>210</v>
      </c>
      <c r="C153" s="106" t="s">
        <v>424</v>
      </c>
      <c r="D153" s="107"/>
      <c r="E153" s="107"/>
      <c r="F153" s="107"/>
      <c r="G153" s="11" t="s">
        <v>598</v>
      </c>
      <c r="H153" s="17">
        <v>104.36</v>
      </c>
      <c r="I153" s="93">
        <v>0</v>
      </c>
      <c r="J153" s="17">
        <f>H153*AO153</f>
        <v>0</v>
      </c>
      <c r="K153" s="17">
        <f>H153*AP153</f>
        <v>0</v>
      </c>
      <c r="L153" s="17">
        <f>H153*I153</f>
        <v>0</v>
      </c>
      <c r="M153" s="24" t="s">
        <v>618</v>
      </c>
      <c r="N153" s="4"/>
      <c r="Z153" s="28">
        <f>IF(AQ153="5",BJ153,0)</f>
        <v>0</v>
      </c>
      <c r="AB153" s="28">
        <f>IF(AQ153="1",BH153,0)</f>
        <v>0</v>
      </c>
      <c r="AC153" s="28">
        <f>IF(AQ153="1",BI153,0)</f>
        <v>0</v>
      </c>
      <c r="AD153" s="28">
        <f>IF(AQ153="7",BH153,0)</f>
        <v>0</v>
      </c>
      <c r="AE153" s="28">
        <f>IF(AQ153="7",BI153,0)</f>
        <v>0</v>
      </c>
      <c r="AF153" s="28">
        <f>IF(AQ153="2",BH153,0)</f>
        <v>0</v>
      </c>
      <c r="AG153" s="28">
        <f>IF(AQ153="2",BI153,0)</f>
        <v>0</v>
      </c>
      <c r="AH153" s="28">
        <f>IF(AQ153="0",BJ153,0)</f>
        <v>0</v>
      </c>
      <c r="AI153" s="27"/>
      <c r="AJ153" s="17">
        <f>IF(AN153=0,L153,0)</f>
        <v>0</v>
      </c>
      <c r="AK153" s="17">
        <f>IF(AN153=15,L153,0)</f>
        <v>0</v>
      </c>
      <c r="AL153" s="17">
        <f>IF(AN153=21,L153,0)</f>
        <v>0</v>
      </c>
      <c r="AN153" s="28">
        <v>21</v>
      </c>
      <c r="AO153" s="28">
        <f>I153*0.376992884508226</f>
        <v>0</v>
      </c>
      <c r="AP153" s="28">
        <f>I153*(1-0.376992884508226)</f>
        <v>0</v>
      </c>
      <c r="AQ153" s="29" t="s">
        <v>13</v>
      </c>
      <c r="AV153" s="28">
        <f>AW153+AX153</f>
        <v>0</v>
      </c>
      <c r="AW153" s="28">
        <f>H153*AO153</f>
        <v>0</v>
      </c>
      <c r="AX153" s="28">
        <f>H153*AP153</f>
        <v>0</v>
      </c>
      <c r="AY153" s="31" t="s">
        <v>643</v>
      </c>
      <c r="AZ153" s="31" t="s">
        <v>664</v>
      </c>
      <c r="BA153" s="27" t="s">
        <v>669</v>
      </c>
      <c r="BC153" s="28">
        <f>AW153+AX153</f>
        <v>0</v>
      </c>
      <c r="BD153" s="28">
        <f>I153/(100-BE153)*100</f>
        <v>0</v>
      </c>
      <c r="BE153" s="28">
        <v>0</v>
      </c>
      <c r="BF153" s="28">
        <f>153</f>
        <v>153</v>
      </c>
      <c r="BH153" s="17">
        <f>H153*AO153</f>
        <v>0</v>
      </c>
      <c r="BI153" s="17">
        <f>H153*AP153</f>
        <v>0</v>
      </c>
      <c r="BJ153" s="17">
        <f>H153*I153</f>
        <v>0</v>
      </c>
      <c r="BK153" s="17" t="s">
        <v>674</v>
      </c>
      <c r="BL153" s="28">
        <v>771</v>
      </c>
    </row>
    <row r="154" spans="1:14" s="86" customFormat="1" ht="12">
      <c r="A154" s="84"/>
      <c r="B154" s="85" t="s">
        <v>139</v>
      </c>
      <c r="C154" s="103" t="s">
        <v>425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5"/>
      <c r="N154" s="84"/>
    </row>
    <row r="155" spans="1:64" ht="12.75">
      <c r="A155" s="3" t="s">
        <v>70</v>
      </c>
      <c r="B155" s="11" t="s">
        <v>211</v>
      </c>
      <c r="C155" s="106" t="s">
        <v>426</v>
      </c>
      <c r="D155" s="107"/>
      <c r="E155" s="107"/>
      <c r="F155" s="107"/>
      <c r="G155" s="11" t="s">
        <v>594</v>
      </c>
      <c r="H155" s="17">
        <v>6.41</v>
      </c>
      <c r="I155" s="93">
        <v>0</v>
      </c>
      <c r="J155" s="17">
        <f>H155*AO155</f>
        <v>0</v>
      </c>
      <c r="K155" s="17">
        <f>H155*AP155</f>
        <v>0</v>
      </c>
      <c r="L155" s="17">
        <f>H155*I155</f>
        <v>0</v>
      </c>
      <c r="M155" s="24" t="s">
        <v>618</v>
      </c>
      <c r="N155" s="4"/>
      <c r="Z155" s="28">
        <f>IF(AQ155="5",BJ155,0)</f>
        <v>0</v>
      </c>
      <c r="AB155" s="28">
        <f>IF(AQ155="1",BH155,0)</f>
        <v>0</v>
      </c>
      <c r="AC155" s="28">
        <f>IF(AQ155="1",BI155,0)</f>
        <v>0</v>
      </c>
      <c r="AD155" s="28">
        <f>IF(AQ155="7",BH155,0)</f>
        <v>0</v>
      </c>
      <c r="AE155" s="28">
        <f>IF(AQ155="7",BI155,0)</f>
        <v>0</v>
      </c>
      <c r="AF155" s="28">
        <f>IF(AQ155="2",BH155,0)</f>
        <v>0</v>
      </c>
      <c r="AG155" s="28">
        <f>IF(AQ155="2",BI155,0)</f>
        <v>0</v>
      </c>
      <c r="AH155" s="28">
        <f>IF(AQ155="0",BJ155,0)</f>
        <v>0</v>
      </c>
      <c r="AI155" s="27"/>
      <c r="AJ155" s="17">
        <f>IF(AN155=0,L155,0)</f>
        <v>0</v>
      </c>
      <c r="AK155" s="17">
        <f>IF(AN155=15,L155,0)</f>
        <v>0</v>
      </c>
      <c r="AL155" s="17">
        <f>IF(AN155=21,L155,0)</f>
        <v>0</v>
      </c>
      <c r="AN155" s="28">
        <v>21</v>
      </c>
      <c r="AO155" s="28">
        <f>I155*0</f>
        <v>0</v>
      </c>
      <c r="AP155" s="28">
        <f>I155*(1-0)</f>
        <v>0</v>
      </c>
      <c r="AQ155" s="29" t="s">
        <v>13</v>
      </c>
      <c r="AV155" s="28">
        <f>AW155+AX155</f>
        <v>0</v>
      </c>
      <c r="AW155" s="28">
        <f>H155*AO155</f>
        <v>0</v>
      </c>
      <c r="AX155" s="28">
        <f>H155*AP155</f>
        <v>0</v>
      </c>
      <c r="AY155" s="31" t="s">
        <v>643</v>
      </c>
      <c r="AZ155" s="31" t="s">
        <v>664</v>
      </c>
      <c r="BA155" s="27" t="s">
        <v>669</v>
      </c>
      <c r="BC155" s="28">
        <f>AW155+AX155</f>
        <v>0</v>
      </c>
      <c r="BD155" s="28">
        <f>I155/(100-BE155)*100</f>
        <v>0</v>
      </c>
      <c r="BE155" s="28">
        <v>0</v>
      </c>
      <c r="BF155" s="28">
        <f>155</f>
        <v>155</v>
      </c>
      <c r="BH155" s="17">
        <f>H155*AO155</f>
        <v>0</v>
      </c>
      <c r="BI155" s="17">
        <f>H155*AP155</f>
        <v>0</v>
      </c>
      <c r="BJ155" s="17">
        <f>H155*I155</f>
        <v>0</v>
      </c>
      <c r="BK155" s="17" t="s">
        <v>674</v>
      </c>
      <c r="BL155" s="28">
        <v>771</v>
      </c>
    </row>
    <row r="156" spans="1:14" ht="38.25" customHeight="1">
      <c r="A156" s="4"/>
      <c r="B156" s="13" t="s">
        <v>144</v>
      </c>
      <c r="C156" s="115" t="s">
        <v>427</v>
      </c>
      <c r="D156" s="116"/>
      <c r="E156" s="116"/>
      <c r="F156" s="116"/>
      <c r="G156" s="116"/>
      <c r="H156" s="116"/>
      <c r="I156" s="116"/>
      <c r="J156" s="116"/>
      <c r="K156" s="116"/>
      <c r="L156" s="116"/>
      <c r="M156" s="117"/>
      <c r="N156" s="4"/>
    </row>
    <row r="157" spans="1:64" ht="12.75">
      <c r="A157" s="3" t="s">
        <v>71</v>
      </c>
      <c r="B157" s="11" t="s">
        <v>212</v>
      </c>
      <c r="C157" s="106" t="s">
        <v>428</v>
      </c>
      <c r="D157" s="107"/>
      <c r="E157" s="107"/>
      <c r="F157" s="107"/>
      <c r="G157" s="11" t="s">
        <v>598</v>
      </c>
      <c r="H157" s="17">
        <v>1.8</v>
      </c>
      <c r="I157" s="93">
        <v>0</v>
      </c>
      <c r="J157" s="17">
        <f>H157*AO157</f>
        <v>0</v>
      </c>
      <c r="K157" s="17">
        <f>H157*AP157</f>
        <v>0</v>
      </c>
      <c r="L157" s="17">
        <f>H157*I157</f>
        <v>0</v>
      </c>
      <c r="M157" s="24" t="s">
        <v>618</v>
      </c>
      <c r="N157" s="4"/>
      <c r="Z157" s="28">
        <f>IF(AQ157="5",BJ157,0)</f>
        <v>0</v>
      </c>
      <c r="AB157" s="28">
        <f>IF(AQ157="1",BH157,0)</f>
        <v>0</v>
      </c>
      <c r="AC157" s="28">
        <f>IF(AQ157="1",BI157,0)</f>
        <v>0</v>
      </c>
      <c r="AD157" s="28">
        <f>IF(AQ157="7",BH157,0)</f>
        <v>0</v>
      </c>
      <c r="AE157" s="28">
        <f>IF(AQ157="7",BI157,0)</f>
        <v>0</v>
      </c>
      <c r="AF157" s="28">
        <f>IF(AQ157="2",BH157,0)</f>
        <v>0</v>
      </c>
      <c r="AG157" s="28">
        <f>IF(AQ157="2",BI157,0)</f>
        <v>0</v>
      </c>
      <c r="AH157" s="28">
        <f>IF(AQ157="0",BJ157,0)</f>
        <v>0</v>
      </c>
      <c r="AI157" s="27"/>
      <c r="AJ157" s="17">
        <f>IF(AN157=0,L157,0)</f>
        <v>0</v>
      </c>
      <c r="AK157" s="17">
        <f>IF(AN157=15,L157,0)</f>
        <v>0</v>
      </c>
      <c r="AL157" s="17">
        <f>IF(AN157=21,L157,0)</f>
        <v>0</v>
      </c>
      <c r="AN157" s="28">
        <v>21</v>
      </c>
      <c r="AO157" s="28">
        <f>I157*0.719373104145602</f>
        <v>0</v>
      </c>
      <c r="AP157" s="28">
        <f>I157*(1-0.719373104145602)</f>
        <v>0</v>
      </c>
      <c r="AQ157" s="29" t="s">
        <v>13</v>
      </c>
      <c r="AV157" s="28">
        <f>AW157+AX157</f>
        <v>0</v>
      </c>
      <c r="AW157" s="28">
        <f>H157*AO157</f>
        <v>0</v>
      </c>
      <c r="AX157" s="28">
        <f>H157*AP157</f>
        <v>0</v>
      </c>
      <c r="AY157" s="31" t="s">
        <v>643</v>
      </c>
      <c r="AZ157" s="31" t="s">
        <v>664</v>
      </c>
      <c r="BA157" s="27" t="s">
        <v>669</v>
      </c>
      <c r="BC157" s="28">
        <f>AW157+AX157</f>
        <v>0</v>
      </c>
      <c r="BD157" s="28">
        <f>I157/(100-BE157)*100</f>
        <v>0</v>
      </c>
      <c r="BE157" s="28">
        <v>0</v>
      </c>
      <c r="BF157" s="28">
        <f>157</f>
        <v>157</v>
      </c>
      <c r="BH157" s="17">
        <f>H157*AO157</f>
        <v>0</v>
      </c>
      <c r="BI157" s="17">
        <f>H157*AP157</f>
        <v>0</v>
      </c>
      <c r="BJ157" s="17">
        <f>H157*I157</f>
        <v>0</v>
      </c>
      <c r="BK157" s="17" t="s">
        <v>674</v>
      </c>
      <c r="BL157" s="28">
        <v>771</v>
      </c>
    </row>
    <row r="158" spans="1:14" ht="12.75">
      <c r="A158" s="4"/>
      <c r="B158" s="13" t="s">
        <v>143</v>
      </c>
      <c r="C158" s="120" t="s">
        <v>429</v>
      </c>
      <c r="D158" s="121"/>
      <c r="E158" s="121"/>
      <c r="F158" s="121"/>
      <c r="G158" s="121"/>
      <c r="H158" s="121"/>
      <c r="I158" s="121"/>
      <c r="J158" s="121"/>
      <c r="K158" s="121"/>
      <c r="L158" s="121"/>
      <c r="M158" s="122"/>
      <c r="N158" s="4"/>
    </row>
    <row r="159" spans="1:14" ht="12.75">
      <c r="A159" s="4"/>
      <c r="B159" s="13" t="s">
        <v>144</v>
      </c>
      <c r="C159" s="115" t="s">
        <v>430</v>
      </c>
      <c r="D159" s="116"/>
      <c r="E159" s="116"/>
      <c r="F159" s="116"/>
      <c r="G159" s="116"/>
      <c r="H159" s="116"/>
      <c r="I159" s="116"/>
      <c r="J159" s="116"/>
      <c r="K159" s="116"/>
      <c r="L159" s="116"/>
      <c r="M159" s="117"/>
      <c r="N159" s="4"/>
    </row>
    <row r="160" spans="1:14" s="86" customFormat="1" ht="12">
      <c r="A160" s="84"/>
      <c r="B160" s="85" t="s">
        <v>139</v>
      </c>
      <c r="C160" s="103" t="s">
        <v>431</v>
      </c>
      <c r="D160" s="104"/>
      <c r="E160" s="104"/>
      <c r="F160" s="104"/>
      <c r="G160" s="104"/>
      <c r="H160" s="104"/>
      <c r="I160" s="104"/>
      <c r="J160" s="104"/>
      <c r="K160" s="104"/>
      <c r="L160" s="104"/>
      <c r="M160" s="105"/>
      <c r="N160" s="84"/>
    </row>
    <row r="161" spans="1:47" ht="12.75">
      <c r="A161" s="69"/>
      <c r="B161" s="70" t="s">
        <v>213</v>
      </c>
      <c r="C161" s="108" t="s">
        <v>432</v>
      </c>
      <c r="D161" s="109"/>
      <c r="E161" s="109"/>
      <c r="F161" s="109"/>
      <c r="G161" s="71" t="s">
        <v>6</v>
      </c>
      <c r="H161" s="71" t="s">
        <v>6</v>
      </c>
      <c r="I161" s="94" t="s">
        <v>6</v>
      </c>
      <c r="J161" s="72">
        <f>SUM(J162:J173)</f>
        <v>0</v>
      </c>
      <c r="K161" s="72">
        <f>SUM(K162:K173)</f>
        <v>0</v>
      </c>
      <c r="L161" s="72">
        <f>SUM(L162:L173)</f>
        <v>0</v>
      </c>
      <c r="M161" s="73"/>
      <c r="N161" s="4"/>
      <c r="AI161" s="27"/>
      <c r="AS161" s="33">
        <f>SUM(AJ162:AJ173)</f>
        <v>0</v>
      </c>
      <c r="AT161" s="33">
        <f>SUM(AK162:AK173)</f>
        <v>0</v>
      </c>
      <c r="AU161" s="33">
        <f>SUM(AL162:AL173)</f>
        <v>0</v>
      </c>
    </row>
    <row r="162" spans="1:64" ht="12.75">
      <c r="A162" s="3" t="s">
        <v>72</v>
      </c>
      <c r="B162" s="11" t="s">
        <v>214</v>
      </c>
      <c r="C162" s="106" t="s">
        <v>433</v>
      </c>
      <c r="D162" s="107"/>
      <c r="E162" s="107"/>
      <c r="F162" s="107"/>
      <c r="G162" s="11" t="s">
        <v>594</v>
      </c>
      <c r="H162" s="17">
        <v>87.2575</v>
      </c>
      <c r="I162" s="93">
        <v>0</v>
      </c>
      <c r="J162" s="17">
        <f>H162*AO162</f>
        <v>0</v>
      </c>
      <c r="K162" s="17">
        <f>H162*AP162</f>
        <v>0</v>
      </c>
      <c r="L162" s="17">
        <f>H162*I162</f>
        <v>0</v>
      </c>
      <c r="M162" s="24" t="s">
        <v>618</v>
      </c>
      <c r="N162" s="4"/>
      <c r="Z162" s="28">
        <f>IF(AQ162="5",BJ162,0)</f>
        <v>0</v>
      </c>
      <c r="AB162" s="28">
        <f>IF(AQ162="1",BH162,0)</f>
        <v>0</v>
      </c>
      <c r="AC162" s="28">
        <f>IF(AQ162="1",BI162,0)</f>
        <v>0</v>
      </c>
      <c r="AD162" s="28">
        <f>IF(AQ162="7",BH162,0)</f>
        <v>0</v>
      </c>
      <c r="AE162" s="28">
        <f>IF(AQ162="7",BI162,0)</f>
        <v>0</v>
      </c>
      <c r="AF162" s="28">
        <f>IF(AQ162="2",BH162,0)</f>
        <v>0</v>
      </c>
      <c r="AG162" s="28">
        <f>IF(AQ162="2",BI162,0)</f>
        <v>0</v>
      </c>
      <c r="AH162" s="28">
        <f>IF(AQ162="0",BJ162,0)</f>
        <v>0</v>
      </c>
      <c r="AI162" s="27"/>
      <c r="AJ162" s="17">
        <f>IF(AN162=0,L162,0)</f>
        <v>0</v>
      </c>
      <c r="AK162" s="17">
        <f>IF(AN162=15,L162,0)</f>
        <v>0</v>
      </c>
      <c r="AL162" s="17">
        <f>IF(AN162=21,L162,0)</f>
        <v>0</v>
      </c>
      <c r="AN162" s="28">
        <v>21</v>
      </c>
      <c r="AO162" s="28">
        <f>I162*1.00000130231226</f>
        <v>0</v>
      </c>
      <c r="AP162" s="28">
        <f>I162*(1-1.00000130231226)</f>
        <v>0</v>
      </c>
      <c r="AQ162" s="29" t="s">
        <v>13</v>
      </c>
      <c r="AV162" s="28">
        <f>AW162+AX162</f>
        <v>0</v>
      </c>
      <c r="AW162" s="28">
        <f>H162*AO162</f>
        <v>0</v>
      </c>
      <c r="AX162" s="28">
        <f>H162*AP162</f>
        <v>0</v>
      </c>
      <c r="AY162" s="31" t="s">
        <v>644</v>
      </c>
      <c r="AZ162" s="31" t="s">
        <v>665</v>
      </c>
      <c r="BA162" s="27" t="s">
        <v>669</v>
      </c>
      <c r="BC162" s="28">
        <f>AW162+AX162</f>
        <v>0</v>
      </c>
      <c r="BD162" s="28">
        <f>I162/(100-BE162)*100</f>
        <v>0</v>
      </c>
      <c r="BE162" s="28">
        <v>0</v>
      </c>
      <c r="BF162" s="28">
        <f>162</f>
        <v>162</v>
      </c>
      <c r="BH162" s="17">
        <f>H162*AO162</f>
        <v>0</v>
      </c>
      <c r="BI162" s="17">
        <f>H162*AP162</f>
        <v>0</v>
      </c>
      <c r="BJ162" s="17">
        <f>H162*I162</f>
        <v>0</v>
      </c>
      <c r="BK162" s="17" t="s">
        <v>674</v>
      </c>
      <c r="BL162" s="28">
        <v>781</v>
      </c>
    </row>
    <row r="163" spans="1:64" ht="12.75">
      <c r="A163" s="3" t="s">
        <v>73</v>
      </c>
      <c r="B163" s="11" t="s">
        <v>215</v>
      </c>
      <c r="C163" s="106" t="s">
        <v>434</v>
      </c>
      <c r="D163" s="107"/>
      <c r="E163" s="107"/>
      <c r="F163" s="107"/>
      <c r="G163" s="11" t="s">
        <v>594</v>
      </c>
      <c r="H163" s="17">
        <v>87.2575</v>
      </c>
      <c r="I163" s="93">
        <v>0</v>
      </c>
      <c r="J163" s="17">
        <f>H163*AO163</f>
        <v>0</v>
      </c>
      <c r="K163" s="17">
        <f>H163*AP163</f>
        <v>0</v>
      </c>
      <c r="L163" s="17">
        <f>H163*I163</f>
        <v>0</v>
      </c>
      <c r="M163" s="24" t="s">
        <v>618</v>
      </c>
      <c r="N163" s="4"/>
      <c r="Z163" s="28">
        <f>IF(AQ163="5",BJ163,0)</f>
        <v>0</v>
      </c>
      <c r="AB163" s="28">
        <f>IF(AQ163="1",BH163,0)</f>
        <v>0</v>
      </c>
      <c r="AC163" s="28">
        <f>IF(AQ163="1",BI163,0)</f>
        <v>0</v>
      </c>
      <c r="AD163" s="28">
        <f>IF(AQ163="7",BH163,0)</f>
        <v>0</v>
      </c>
      <c r="AE163" s="28">
        <f>IF(AQ163="7",BI163,0)</f>
        <v>0</v>
      </c>
      <c r="AF163" s="28">
        <f>IF(AQ163="2",BH163,0)</f>
        <v>0</v>
      </c>
      <c r="AG163" s="28">
        <f>IF(AQ163="2",BI163,0)</f>
        <v>0</v>
      </c>
      <c r="AH163" s="28">
        <f>IF(AQ163="0",BJ163,0)</f>
        <v>0</v>
      </c>
      <c r="AI163" s="27"/>
      <c r="AJ163" s="17">
        <f>IF(AN163=0,L163,0)</f>
        <v>0</v>
      </c>
      <c r="AK163" s="17">
        <f>IF(AN163=15,L163,0)</f>
        <v>0</v>
      </c>
      <c r="AL163" s="17">
        <f>IF(AN163=21,L163,0)</f>
        <v>0</v>
      </c>
      <c r="AN163" s="28">
        <v>21</v>
      </c>
      <c r="AO163" s="28">
        <f>I163*0</f>
        <v>0</v>
      </c>
      <c r="AP163" s="28">
        <f>I163*(1-0)</f>
        <v>0</v>
      </c>
      <c r="AQ163" s="29" t="s">
        <v>13</v>
      </c>
      <c r="AV163" s="28">
        <f>AW163+AX163</f>
        <v>0</v>
      </c>
      <c r="AW163" s="28">
        <f>H163*AO163</f>
        <v>0</v>
      </c>
      <c r="AX163" s="28">
        <f>H163*AP163</f>
        <v>0</v>
      </c>
      <c r="AY163" s="31" t="s">
        <v>644</v>
      </c>
      <c r="AZ163" s="31" t="s">
        <v>665</v>
      </c>
      <c r="BA163" s="27" t="s">
        <v>669</v>
      </c>
      <c r="BC163" s="28">
        <f>AW163+AX163</f>
        <v>0</v>
      </c>
      <c r="BD163" s="28">
        <f>I163/(100-BE163)*100</f>
        <v>0</v>
      </c>
      <c r="BE163" s="28">
        <v>0</v>
      </c>
      <c r="BF163" s="28">
        <f>163</f>
        <v>163</v>
      </c>
      <c r="BH163" s="17">
        <f>H163*AO163</f>
        <v>0</v>
      </c>
      <c r="BI163" s="17">
        <f>H163*AP163</f>
        <v>0</v>
      </c>
      <c r="BJ163" s="17">
        <f>H163*I163</f>
        <v>0</v>
      </c>
      <c r="BK163" s="17" t="s">
        <v>674</v>
      </c>
      <c r="BL163" s="28">
        <v>781</v>
      </c>
    </row>
    <row r="164" spans="1:14" ht="38.25" customHeight="1">
      <c r="A164" s="4"/>
      <c r="B164" s="13" t="s">
        <v>144</v>
      </c>
      <c r="C164" s="115" t="s">
        <v>435</v>
      </c>
      <c r="D164" s="116"/>
      <c r="E164" s="116"/>
      <c r="F164" s="116"/>
      <c r="G164" s="116"/>
      <c r="H164" s="116"/>
      <c r="I164" s="116"/>
      <c r="J164" s="116"/>
      <c r="K164" s="116"/>
      <c r="L164" s="116"/>
      <c r="M164" s="117"/>
      <c r="N164" s="4"/>
    </row>
    <row r="165" spans="1:14" s="86" customFormat="1" ht="12">
      <c r="A165" s="84"/>
      <c r="B165" s="85" t="s">
        <v>139</v>
      </c>
      <c r="C165" s="103" t="s">
        <v>436</v>
      </c>
      <c r="D165" s="104"/>
      <c r="E165" s="104"/>
      <c r="F165" s="104"/>
      <c r="G165" s="104"/>
      <c r="H165" s="104"/>
      <c r="I165" s="104"/>
      <c r="J165" s="104"/>
      <c r="K165" s="104"/>
      <c r="L165" s="104"/>
      <c r="M165" s="105"/>
      <c r="N165" s="84"/>
    </row>
    <row r="166" spans="1:64" ht="12.75">
      <c r="A166" s="78" t="s">
        <v>74</v>
      </c>
      <c r="B166" s="78" t="s">
        <v>216</v>
      </c>
      <c r="C166" s="125" t="s">
        <v>437</v>
      </c>
      <c r="D166" s="107"/>
      <c r="E166" s="107"/>
      <c r="F166" s="126"/>
      <c r="G166" s="78" t="s">
        <v>594</v>
      </c>
      <c r="H166" s="79">
        <v>60.6816</v>
      </c>
      <c r="I166" s="89">
        <v>0</v>
      </c>
      <c r="J166" s="79">
        <f>H166*AO166</f>
        <v>0</v>
      </c>
      <c r="K166" s="79">
        <f>H166*AP166</f>
        <v>0</v>
      </c>
      <c r="L166" s="79">
        <f>H166*I166</f>
        <v>0</v>
      </c>
      <c r="M166" s="80" t="s">
        <v>618</v>
      </c>
      <c r="N166" s="63"/>
      <c r="Z166" s="28">
        <f>IF(AQ166="5",BJ166,0)</f>
        <v>0</v>
      </c>
      <c r="AB166" s="28">
        <f>IF(AQ166="1",BH166,0)</f>
        <v>0</v>
      </c>
      <c r="AC166" s="28">
        <f>IF(AQ166="1",BI166,0)</f>
        <v>0</v>
      </c>
      <c r="AD166" s="28">
        <f>IF(AQ166="7",BH166,0)</f>
        <v>0</v>
      </c>
      <c r="AE166" s="28">
        <f>IF(AQ166="7",BI166,0)</f>
        <v>0</v>
      </c>
      <c r="AF166" s="28">
        <f>IF(AQ166="2",BH166,0)</f>
        <v>0</v>
      </c>
      <c r="AG166" s="28">
        <f>IF(AQ166="2",BI166,0)</f>
        <v>0</v>
      </c>
      <c r="AH166" s="28">
        <f>IF(AQ166="0",BJ166,0)</f>
        <v>0</v>
      </c>
      <c r="AI166" s="27"/>
      <c r="AJ166" s="17">
        <f>IF(AN166=0,L166,0)</f>
        <v>0</v>
      </c>
      <c r="AK166" s="17">
        <f>IF(AN166=15,L166,0)</f>
        <v>0</v>
      </c>
      <c r="AL166" s="17">
        <f>IF(AN166=21,L166,0)</f>
        <v>0</v>
      </c>
      <c r="AN166" s="28">
        <v>21</v>
      </c>
      <c r="AO166" s="28">
        <f>I166*0</f>
        <v>0</v>
      </c>
      <c r="AP166" s="28">
        <f>I166*(1-0)</f>
        <v>0</v>
      </c>
      <c r="AQ166" s="29" t="s">
        <v>13</v>
      </c>
      <c r="AV166" s="28">
        <f>AW166+AX166</f>
        <v>0</v>
      </c>
      <c r="AW166" s="28">
        <f>H166*AO166</f>
        <v>0</v>
      </c>
      <c r="AX166" s="28">
        <f>H166*AP166</f>
        <v>0</v>
      </c>
      <c r="AY166" s="31" t="s">
        <v>644</v>
      </c>
      <c r="AZ166" s="31" t="s">
        <v>665</v>
      </c>
      <c r="BA166" s="27" t="s">
        <v>669</v>
      </c>
      <c r="BC166" s="28">
        <f>AW166+AX166</f>
        <v>0</v>
      </c>
      <c r="BD166" s="28">
        <f>I166/(100-BE166)*100</f>
        <v>0</v>
      </c>
      <c r="BE166" s="28">
        <v>0</v>
      </c>
      <c r="BF166" s="28">
        <f>166</f>
        <v>166</v>
      </c>
      <c r="BH166" s="17">
        <f>H166*AO166</f>
        <v>0</v>
      </c>
      <c r="BI166" s="17">
        <f>H166*AP166</f>
        <v>0</v>
      </c>
      <c r="BJ166" s="17">
        <f>H166*I166</f>
        <v>0</v>
      </c>
      <c r="BK166" s="17" t="s">
        <v>674</v>
      </c>
      <c r="BL166" s="28">
        <v>781</v>
      </c>
    </row>
    <row r="167" spans="1:14" ht="12.75">
      <c r="A167" s="4"/>
      <c r="B167" s="12" t="s">
        <v>139</v>
      </c>
      <c r="C167" s="127" t="s">
        <v>438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9"/>
      <c r="N167" s="4"/>
    </row>
    <row r="168" spans="1:64" ht="12.75">
      <c r="A168" s="3" t="s">
        <v>75</v>
      </c>
      <c r="B168" s="11" t="s">
        <v>217</v>
      </c>
      <c r="C168" s="106" t="s">
        <v>439</v>
      </c>
      <c r="D168" s="107"/>
      <c r="E168" s="107"/>
      <c r="F168" s="107"/>
      <c r="G168" s="11" t="s">
        <v>598</v>
      </c>
      <c r="H168" s="17">
        <v>0.75</v>
      </c>
      <c r="I168" s="93">
        <v>0</v>
      </c>
      <c r="J168" s="17">
        <f>H168*AO168</f>
        <v>0</v>
      </c>
      <c r="K168" s="17">
        <f>H168*AP168</f>
        <v>0</v>
      </c>
      <c r="L168" s="17">
        <f>H168*I168</f>
        <v>0</v>
      </c>
      <c r="M168" s="24" t="s">
        <v>618</v>
      </c>
      <c r="N168" s="4"/>
      <c r="Z168" s="28">
        <f>IF(AQ168="5",BJ168,0)</f>
        <v>0</v>
      </c>
      <c r="AB168" s="28">
        <f>IF(AQ168="1",BH168,0)</f>
        <v>0</v>
      </c>
      <c r="AC168" s="28">
        <f>IF(AQ168="1",BI168,0)</f>
        <v>0</v>
      </c>
      <c r="AD168" s="28">
        <f>IF(AQ168="7",BH168,0)</f>
        <v>0</v>
      </c>
      <c r="AE168" s="28">
        <f>IF(AQ168="7",BI168,0)</f>
        <v>0</v>
      </c>
      <c r="AF168" s="28">
        <f>IF(AQ168="2",BH168,0)</f>
        <v>0</v>
      </c>
      <c r="AG168" s="28">
        <f>IF(AQ168="2",BI168,0)</f>
        <v>0</v>
      </c>
      <c r="AH168" s="28">
        <f>IF(AQ168="0",BJ168,0)</f>
        <v>0</v>
      </c>
      <c r="AI168" s="27"/>
      <c r="AJ168" s="17">
        <f>IF(AN168=0,L168,0)</f>
        <v>0</v>
      </c>
      <c r="AK168" s="17">
        <f>IF(AN168=15,L168,0)</f>
        <v>0</v>
      </c>
      <c r="AL168" s="17">
        <f>IF(AN168=21,L168,0)</f>
        <v>0</v>
      </c>
      <c r="AN168" s="28">
        <v>21</v>
      </c>
      <c r="AO168" s="28">
        <f>I168*0.0324831568816169</f>
        <v>0</v>
      </c>
      <c r="AP168" s="28">
        <f>I168*(1-0.0324831568816169)</f>
        <v>0</v>
      </c>
      <c r="AQ168" s="29" t="s">
        <v>13</v>
      </c>
      <c r="AV168" s="28">
        <f>AW168+AX168</f>
        <v>0</v>
      </c>
      <c r="AW168" s="28">
        <f>H168*AO168</f>
        <v>0</v>
      </c>
      <c r="AX168" s="28">
        <f>H168*AP168</f>
        <v>0</v>
      </c>
      <c r="AY168" s="31" t="s">
        <v>644</v>
      </c>
      <c r="AZ168" s="31" t="s">
        <v>665</v>
      </c>
      <c r="BA168" s="27" t="s">
        <v>669</v>
      </c>
      <c r="BC168" s="28">
        <f>AW168+AX168</f>
        <v>0</v>
      </c>
      <c r="BD168" s="28">
        <f>I168/(100-BE168)*100</f>
        <v>0</v>
      </c>
      <c r="BE168" s="28">
        <v>0</v>
      </c>
      <c r="BF168" s="28">
        <f>168</f>
        <v>168</v>
      </c>
      <c r="BH168" s="17">
        <f>H168*AO168</f>
        <v>0</v>
      </c>
      <c r="BI168" s="17">
        <f>H168*AP168</f>
        <v>0</v>
      </c>
      <c r="BJ168" s="17">
        <f>H168*I168</f>
        <v>0</v>
      </c>
      <c r="BK168" s="17" t="s">
        <v>674</v>
      </c>
      <c r="BL168" s="28">
        <v>781</v>
      </c>
    </row>
    <row r="169" spans="1:14" ht="12.75">
      <c r="A169" s="4"/>
      <c r="B169" s="13" t="s">
        <v>143</v>
      </c>
      <c r="C169" s="120" t="s">
        <v>440</v>
      </c>
      <c r="D169" s="121"/>
      <c r="E169" s="121"/>
      <c r="F169" s="121"/>
      <c r="G169" s="121"/>
      <c r="H169" s="121"/>
      <c r="I169" s="121"/>
      <c r="J169" s="121"/>
      <c r="K169" s="121"/>
      <c r="L169" s="121"/>
      <c r="M169" s="122"/>
      <c r="N169" s="4"/>
    </row>
    <row r="170" spans="1:14" s="86" customFormat="1" ht="12">
      <c r="A170" s="84"/>
      <c r="B170" s="85" t="s">
        <v>139</v>
      </c>
      <c r="C170" s="103" t="s">
        <v>441</v>
      </c>
      <c r="D170" s="104"/>
      <c r="E170" s="104"/>
      <c r="F170" s="104"/>
      <c r="G170" s="104"/>
      <c r="H170" s="104"/>
      <c r="I170" s="104"/>
      <c r="J170" s="104"/>
      <c r="K170" s="104"/>
      <c r="L170" s="104"/>
      <c r="M170" s="105"/>
      <c r="N170" s="84"/>
    </row>
    <row r="171" spans="1:64" ht="12.75">
      <c r="A171" s="3" t="s">
        <v>76</v>
      </c>
      <c r="B171" s="11" t="s">
        <v>218</v>
      </c>
      <c r="C171" s="106" t="s">
        <v>442</v>
      </c>
      <c r="D171" s="107"/>
      <c r="E171" s="107"/>
      <c r="F171" s="107"/>
      <c r="G171" s="11" t="s">
        <v>594</v>
      </c>
      <c r="H171" s="17">
        <v>87.2575</v>
      </c>
      <c r="I171" s="93">
        <v>0</v>
      </c>
      <c r="J171" s="17">
        <f>H171*AO171</f>
        <v>0</v>
      </c>
      <c r="K171" s="17">
        <f>H171*AP171</f>
        <v>0</v>
      </c>
      <c r="L171" s="17">
        <f>H171*I171</f>
        <v>0</v>
      </c>
      <c r="M171" s="24" t="s">
        <v>618</v>
      </c>
      <c r="N171" s="4"/>
      <c r="Z171" s="28">
        <f>IF(AQ171="5",BJ171,0)</f>
        <v>0</v>
      </c>
      <c r="AB171" s="28">
        <f>IF(AQ171="1",BH171,0)</f>
        <v>0</v>
      </c>
      <c r="AC171" s="28">
        <f>IF(AQ171="1",BI171,0)</f>
        <v>0</v>
      </c>
      <c r="AD171" s="28">
        <f>IF(AQ171="7",BH171,0)</f>
        <v>0</v>
      </c>
      <c r="AE171" s="28">
        <f>IF(AQ171="7",BI171,0)</f>
        <v>0</v>
      </c>
      <c r="AF171" s="28">
        <f>IF(AQ171="2",BH171,0)</f>
        <v>0</v>
      </c>
      <c r="AG171" s="28">
        <f>IF(AQ171="2",BI171,0)</f>
        <v>0</v>
      </c>
      <c r="AH171" s="28">
        <f>IF(AQ171="0",BJ171,0)</f>
        <v>0</v>
      </c>
      <c r="AI171" s="27"/>
      <c r="AJ171" s="17">
        <f>IF(AN171=0,L171,0)</f>
        <v>0</v>
      </c>
      <c r="AK171" s="17">
        <f>IF(AN171=15,L171,0)</f>
        <v>0</v>
      </c>
      <c r="AL171" s="17">
        <f>IF(AN171=21,L171,0)</f>
        <v>0</v>
      </c>
      <c r="AN171" s="28">
        <v>21</v>
      </c>
      <c r="AO171" s="28">
        <f>I171*0.491170460107685</f>
        <v>0</v>
      </c>
      <c r="AP171" s="28">
        <f>I171*(1-0.491170460107685)</f>
        <v>0</v>
      </c>
      <c r="AQ171" s="29" t="s">
        <v>13</v>
      </c>
      <c r="AV171" s="28">
        <f>AW171+AX171</f>
        <v>0</v>
      </c>
      <c r="AW171" s="28">
        <f>H171*AO171</f>
        <v>0</v>
      </c>
      <c r="AX171" s="28">
        <f>H171*AP171</f>
        <v>0</v>
      </c>
      <c r="AY171" s="31" t="s">
        <v>644</v>
      </c>
      <c r="AZ171" s="31" t="s">
        <v>665</v>
      </c>
      <c r="BA171" s="27" t="s">
        <v>669</v>
      </c>
      <c r="BC171" s="28">
        <f>AW171+AX171</f>
        <v>0</v>
      </c>
      <c r="BD171" s="28">
        <f>I171/(100-BE171)*100</f>
        <v>0</v>
      </c>
      <c r="BE171" s="28">
        <v>0</v>
      </c>
      <c r="BF171" s="28">
        <f>171</f>
        <v>171</v>
      </c>
      <c r="BH171" s="17">
        <f>H171*AO171</f>
        <v>0</v>
      </c>
      <c r="BI171" s="17">
        <f>H171*AP171</f>
        <v>0</v>
      </c>
      <c r="BJ171" s="17">
        <f>H171*I171</f>
        <v>0</v>
      </c>
      <c r="BK171" s="17" t="s">
        <v>674</v>
      </c>
      <c r="BL171" s="28">
        <v>781</v>
      </c>
    </row>
    <row r="172" spans="1:14" ht="12.75">
      <c r="A172" s="4"/>
      <c r="B172" s="13" t="s">
        <v>144</v>
      </c>
      <c r="C172" s="115" t="s">
        <v>443</v>
      </c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4"/>
    </row>
    <row r="173" spans="1:64" ht="12.75">
      <c r="A173" s="3" t="s">
        <v>77</v>
      </c>
      <c r="B173" s="11" t="s">
        <v>219</v>
      </c>
      <c r="C173" s="106" t="s">
        <v>444</v>
      </c>
      <c r="D173" s="107"/>
      <c r="E173" s="107"/>
      <c r="F173" s="107"/>
      <c r="G173" s="11" t="s">
        <v>598</v>
      </c>
      <c r="H173" s="17">
        <v>42.835</v>
      </c>
      <c r="I173" s="93">
        <v>0</v>
      </c>
      <c r="J173" s="17">
        <f>H173*AO173</f>
        <v>0</v>
      </c>
      <c r="K173" s="17">
        <f>H173*AP173</f>
        <v>0</v>
      </c>
      <c r="L173" s="17">
        <f>H173*I173</f>
        <v>0</v>
      </c>
      <c r="M173" s="24" t="s">
        <v>618</v>
      </c>
      <c r="N173" s="4"/>
      <c r="Z173" s="28">
        <f>IF(AQ173="5",BJ173,0)</f>
        <v>0</v>
      </c>
      <c r="AB173" s="28">
        <f>IF(AQ173="1",BH173,0)</f>
        <v>0</v>
      </c>
      <c r="AC173" s="28">
        <f>IF(AQ173="1",BI173,0)</f>
        <v>0</v>
      </c>
      <c r="AD173" s="28">
        <f>IF(AQ173="7",BH173,0)</f>
        <v>0</v>
      </c>
      <c r="AE173" s="28">
        <f>IF(AQ173="7",BI173,0)</f>
        <v>0</v>
      </c>
      <c r="AF173" s="28">
        <f>IF(AQ173="2",BH173,0)</f>
        <v>0</v>
      </c>
      <c r="AG173" s="28">
        <f>IF(AQ173="2",BI173,0)</f>
        <v>0</v>
      </c>
      <c r="AH173" s="28">
        <f>IF(AQ173="0",BJ173,0)</f>
        <v>0</v>
      </c>
      <c r="AI173" s="27"/>
      <c r="AJ173" s="17">
        <f>IF(AN173=0,L173,0)</f>
        <v>0</v>
      </c>
      <c r="AK173" s="17">
        <f>IF(AN173=15,L173,0)</f>
        <v>0</v>
      </c>
      <c r="AL173" s="17">
        <f>IF(AN173=21,L173,0)</f>
        <v>0</v>
      </c>
      <c r="AN173" s="28">
        <v>21</v>
      </c>
      <c r="AO173" s="28">
        <f>I173*0.803079470198675</f>
        <v>0</v>
      </c>
      <c r="AP173" s="28">
        <f>I173*(1-0.803079470198675)</f>
        <v>0</v>
      </c>
      <c r="AQ173" s="29" t="s">
        <v>13</v>
      </c>
      <c r="AV173" s="28">
        <f>AW173+AX173</f>
        <v>0</v>
      </c>
      <c r="AW173" s="28">
        <f>H173*AO173</f>
        <v>0</v>
      </c>
      <c r="AX173" s="28">
        <f>H173*AP173</f>
        <v>0</v>
      </c>
      <c r="AY173" s="31" t="s">
        <v>644</v>
      </c>
      <c r="AZ173" s="31" t="s">
        <v>665</v>
      </c>
      <c r="BA173" s="27" t="s">
        <v>669</v>
      </c>
      <c r="BC173" s="28">
        <f>AW173+AX173</f>
        <v>0</v>
      </c>
      <c r="BD173" s="28">
        <f>I173/(100-BE173)*100</f>
        <v>0</v>
      </c>
      <c r="BE173" s="28">
        <v>0</v>
      </c>
      <c r="BF173" s="28">
        <f>173</f>
        <v>173</v>
      </c>
      <c r="BH173" s="17">
        <f>H173*AO173</f>
        <v>0</v>
      </c>
      <c r="BI173" s="17">
        <f>H173*AP173</f>
        <v>0</v>
      </c>
      <c r="BJ173" s="17">
        <f>H173*I173</f>
        <v>0</v>
      </c>
      <c r="BK173" s="17" t="s">
        <v>674</v>
      </c>
      <c r="BL173" s="28">
        <v>781</v>
      </c>
    </row>
    <row r="174" spans="1:14" ht="12.75">
      <c r="A174" s="4"/>
      <c r="B174" s="13" t="s">
        <v>143</v>
      </c>
      <c r="C174" s="120" t="s">
        <v>445</v>
      </c>
      <c r="D174" s="121"/>
      <c r="E174" s="121"/>
      <c r="F174" s="121"/>
      <c r="G174" s="121"/>
      <c r="H174" s="121"/>
      <c r="I174" s="121"/>
      <c r="J174" s="121"/>
      <c r="K174" s="121"/>
      <c r="L174" s="121"/>
      <c r="M174" s="122"/>
      <c r="N174" s="4"/>
    </row>
    <row r="175" spans="1:14" ht="12.75">
      <c r="A175" s="4"/>
      <c r="B175" s="13" t="s">
        <v>144</v>
      </c>
      <c r="C175" s="115" t="s">
        <v>446</v>
      </c>
      <c r="D175" s="116"/>
      <c r="E175" s="116"/>
      <c r="F175" s="116"/>
      <c r="G175" s="116"/>
      <c r="H175" s="116"/>
      <c r="I175" s="116"/>
      <c r="J175" s="116"/>
      <c r="K175" s="116"/>
      <c r="L175" s="116"/>
      <c r="M175" s="117"/>
      <c r="N175" s="4"/>
    </row>
    <row r="176" spans="1:47" ht="12.75">
      <c r="A176" s="69"/>
      <c r="B176" s="70" t="s">
        <v>220</v>
      </c>
      <c r="C176" s="108" t="s">
        <v>447</v>
      </c>
      <c r="D176" s="109"/>
      <c r="E176" s="109"/>
      <c r="F176" s="109"/>
      <c r="G176" s="71" t="s">
        <v>6</v>
      </c>
      <c r="H176" s="71" t="s">
        <v>6</v>
      </c>
      <c r="I176" s="94" t="s">
        <v>6</v>
      </c>
      <c r="J176" s="72">
        <f>SUM(J177:J177)</f>
        <v>0</v>
      </c>
      <c r="K176" s="72">
        <f>SUM(K177:K177)</f>
        <v>0</v>
      </c>
      <c r="L176" s="72">
        <f>SUM(L177:L177)</f>
        <v>0</v>
      </c>
      <c r="M176" s="73"/>
      <c r="N176" s="4"/>
      <c r="AI176" s="27"/>
      <c r="AS176" s="33">
        <f>SUM(AJ177:AJ177)</f>
        <v>0</v>
      </c>
      <c r="AT176" s="33">
        <f>SUM(AK177:AK177)</f>
        <v>0</v>
      </c>
      <c r="AU176" s="33">
        <f>SUM(AL177:AL177)</f>
        <v>0</v>
      </c>
    </row>
    <row r="177" spans="1:64" ht="12.75">
      <c r="A177" s="3" t="s">
        <v>78</v>
      </c>
      <c r="B177" s="11" t="s">
        <v>221</v>
      </c>
      <c r="C177" s="106" t="s">
        <v>448</v>
      </c>
      <c r="D177" s="107"/>
      <c r="E177" s="107"/>
      <c r="F177" s="107"/>
      <c r="G177" s="11" t="s">
        <v>594</v>
      </c>
      <c r="H177" s="17">
        <v>7.2</v>
      </c>
      <c r="I177" s="93">
        <v>0</v>
      </c>
      <c r="J177" s="17">
        <f>H177*AO177</f>
        <v>0</v>
      </c>
      <c r="K177" s="17">
        <f>H177*AP177</f>
        <v>0</v>
      </c>
      <c r="L177" s="17">
        <f>H177*I177</f>
        <v>0</v>
      </c>
      <c r="M177" s="24" t="s">
        <v>618</v>
      </c>
      <c r="N177" s="4"/>
      <c r="Z177" s="28">
        <f>IF(AQ177="5",BJ177,0)</f>
        <v>0</v>
      </c>
      <c r="AB177" s="28">
        <f>IF(AQ177="1",BH177,0)</f>
        <v>0</v>
      </c>
      <c r="AC177" s="28">
        <f>IF(AQ177="1",BI177,0)</f>
        <v>0</v>
      </c>
      <c r="AD177" s="28">
        <f>IF(AQ177="7",BH177,0)</f>
        <v>0</v>
      </c>
      <c r="AE177" s="28">
        <f>IF(AQ177="7",BI177,0)</f>
        <v>0</v>
      </c>
      <c r="AF177" s="28">
        <f>IF(AQ177="2",BH177,0)</f>
        <v>0</v>
      </c>
      <c r="AG177" s="28">
        <f>IF(AQ177="2",BI177,0)</f>
        <v>0</v>
      </c>
      <c r="AH177" s="28">
        <f>IF(AQ177="0",BJ177,0)</f>
        <v>0</v>
      </c>
      <c r="AI177" s="27"/>
      <c r="AJ177" s="17">
        <f>IF(AN177=0,L177,0)</f>
        <v>0</v>
      </c>
      <c r="AK177" s="17">
        <f>IF(AN177=15,L177,0)</f>
        <v>0</v>
      </c>
      <c r="AL177" s="17">
        <f>IF(AN177=21,L177,0)</f>
        <v>0</v>
      </c>
      <c r="AN177" s="28">
        <v>21</v>
      </c>
      <c r="AO177" s="28">
        <f>I177*0.361319967897776</f>
        <v>0</v>
      </c>
      <c r="AP177" s="28">
        <f>I177*(1-0.361319967897776)</f>
        <v>0</v>
      </c>
      <c r="AQ177" s="29" t="s">
        <v>13</v>
      </c>
      <c r="AV177" s="28">
        <f>AW177+AX177</f>
        <v>0</v>
      </c>
      <c r="AW177" s="28">
        <f>H177*AO177</f>
        <v>0</v>
      </c>
      <c r="AX177" s="28">
        <f>H177*AP177</f>
        <v>0</v>
      </c>
      <c r="AY177" s="31" t="s">
        <v>645</v>
      </c>
      <c r="AZ177" s="31" t="s">
        <v>665</v>
      </c>
      <c r="BA177" s="27" t="s">
        <v>669</v>
      </c>
      <c r="BC177" s="28">
        <f>AW177+AX177</f>
        <v>0</v>
      </c>
      <c r="BD177" s="28">
        <f>I177/(100-BE177)*100</f>
        <v>0</v>
      </c>
      <c r="BE177" s="28">
        <v>0</v>
      </c>
      <c r="BF177" s="28">
        <f>177</f>
        <v>177</v>
      </c>
      <c r="BH177" s="17">
        <f>H177*AO177</f>
        <v>0</v>
      </c>
      <c r="BI177" s="17">
        <f>H177*AP177</f>
        <v>0</v>
      </c>
      <c r="BJ177" s="17">
        <f>H177*I177</f>
        <v>0</v>
      </c>
      <c r="BK177" s="17" t="s">
        <v>674</v>
      </c>
      <c r="BL177" s="28">
        <v>783</v>
      </c>
    </row>
    <row r="178" spans="1:14" ht="12.75">
      <c r="A178" s="4"/>
      <c r="B178" s="13" t="s">
        <v>143</v>
      </c>
      <c r="C178" s="120" t="s">
        <v>449</v>
      </c>
      <c r="D178" s="121"/>
      <c r="E178" s="121"/>
      <c r="F178" s="121"/>
      <c r="G178" s="121"/>
      <c r="H178" s="121"/>
      <c r="I178" s="121"/>
      <c r="J178" s="121"/>
      <c r="K178" s="121"/>
      <c r="L178" s="121"/>
      <c r="M178" s="122"/>
      <c r="N178" s="4"/>
    </row>
    <row r="179" spans="1:14" s="86" customFormat="1" ht="12">
      <c r="A179" s="84"/>
      <c r="B179" s="85" t="s">
        <v>139</v>
      </c>
      <c r="C179" s="103" t="s">
        <v>450</v>
      </c>
      <c r="D179" s="104"/>
      <c r="E179" s="104"/>
      <c r="F179" s="104"/>
      <c r="G179" s="104"/>
      <c r="H179" s="104"/>
      <c r="I179" s="104"/>
      <c r="J179" s="104"/>
      <c r="K179" s="104"/>
      <c r="L179" s="104"/>
      <c r="M179" s="105"/>
      <c r="N179" s="84"/>
    </row>
    <row r="180" spans="1:47" ht="12.75">
      <c r="A180" s="69"/>
      <c r="B180" s="70" t="s">
        <v>222</v>
      </c>
      <c r="C180" s="108" t="s">
        <v>451</v>
      </c>
      <c r="D180" s="109"/>
      <c r="E180" s="109"/>
      <c r="F180" s="109"/>
      <c r="G180" s="71" t="s">
        <v>6</v>
      </c>
      <c r="H180" s="71" t="s">
        <v>6</v>
      </c>
      <c r="I180" s="94" t="s">
        <v>6</v>
      </c>
      <c r="J180" s="72">
        <f>SUM(J181:J187)</f>
        <v>0</v>
      </c>
      <c r="K180" s="72">
        <f>SUM(K181:K187)</f>
        <v>0</v>
      </c>
      <c r="L180" s="72">
        <f>SUM(L181:L187)</f>
        <v>0</v>
      </c>
      <c r="M180" s="73"/>
      <c r="N180" s="4"/>
      <c r="AI180" s="27"/>
      <c r="AS180" s="33">
        <f>SUM(AJ181:AJ187)</f>
        <v>0</v>
      </c>
      <c r="AT180" s="33">
        <f>SUM(AK181:AK187)</f>
        <v>0</v>
      </c>
      <c r="AU180" s="33">
        <f>SUM(AL181:AL187)</f>
        <v>0</v>
      </c>
    </row>
    <row r="181" spans="1:64" ht="12.75">
      <c r="A181" s="3" t="s">
        <v>79</v>
      </c>
      <c r="B181" s="11" t="s">
        <v>223</v>
      </c>
      <c r="C181" s="106" t="s">
        <v>452</v>
      </c>
      <c r="D181" s="107"/>
      <c r="E181" s="107"/>
      <c r="F181" s="107"/>
      <c r="G181" s="11" t="s">
        <v>594</v>
      </c>
      <c r="H181" s="17">
        <v>103.97486</v>
      </c>
      <c r="I181" s="93">
        <v>0</v>
      </c>
      <c r="J181" s="17">
        <f>H181*AO181</f>
        <v>0</v>
      </c>
      <c r="K181" s="17">
        <f>H181*AP181</f>
        <v>0</v>
      </c>
      <c r="L181" s="17">
        <f>H181*I181</f>
        <v>0</v>
      </c>
      <c r="M181" s="24" t="s">
        <v>618</v>
      </c>
      <c r="N181" s="4"/>
      <c r="Z181" s="28">
        <f>IF(AQ181="5",BJ181,0)</f>
        <v>0</v>
      </c>
      <c r="AB181" s="28">
        <f>IF(AQ181="1",BH181,0)</f>
        <v>0</v>
      </c>
      <c r="AC181" s="28">
        <f>IF(AQ181="1",BI181,0)</f>
        <v>0</v>
      </c>
      <c r="AD181" s="28">
        <f>IF(AQ181="7",BH181,0)</f>
        <v>0</v>
      </c>
      <c r="AE181" s="28">
        <f>IF(AQ181="7",BI181,0)</f>
        <v>0</v>
      </c>
      <c r="AF181" s="28">
        <f>IF(AQ181="2",BH181,0)</f>
        <v>0</v>
      </c>
      <c r="AG181" s="28">
        <f>IF(AQ181="2",BI181,0)</f>
        <v>0</v>
      </c>
      <c r="AH181" s="28">
        <f>IF(AQ181="0",BJ181,0)</f>
        <v>0</v>
      </c>
      <c r="AI181" s="27"/>
      <c r="AJ181" s="17">
        <f>IF(AN181=0,L181,0)</f>
        <v>0</v>
      </c>
      <c r="AK181" s="17">
        <f>IF(AN181=15,L181,0)</f>
        <v>0</v>
      </c>
      <c r="AL181" s="17">
        <f>IF(AN181=21,L181,0)</f>
        <v>0</v>
      </c>
      <c r="AN181" s="28">
        <v>21</v>
      </c>
      <c r="AO181" s="28">
        <f>I181*0.00271083972340432</f>
        <v>0</v>
      </c>
      <c r="AP181" s="28">
        <f>I181*(1-0.00271083972340432)</f>
        <v>0</v>
      </c>
      <c r="AQ181" s="29" t="s">
        <v>13</v>
      </c>
      <c r="AV181" s="28">
        <f>AW181+AX181</f>
        <v>0</v>
      </c>
      <c r="AW181" s="28">
        <f>H181*AO181</f>
        <v>0</v>
      </c>
      <c r="AX181" s="28">
        <f>H181*AP181</f>
        <v>0</v>
      </c>
      <c r="AY181" s="31" t="s">
        <v>646</v>
      </c>
      <c r="AZ181" s="31" t="s">
        <v>665</v>
      </c>
      <c r="BA181" s="27" t="s">
        <v>669</v>
      </c>
      <c r="BC181" s="28">
        <f>AW181+AX181</f>
        <v>0</v>
      </c>
      <c r="BD181" s="28">
        <f>I181/(100-BE181)*100</f>
        <v>0</v>
      </c>
      <c r="BE181" s="28">
        <v>0</v>
      </c>
      <c r="BF181" s="28">
        <f>181</f>
        <v>181</v>
      </c>
      <c r="BH181" s="17">
        <f>H181*AO181</f>
        <v>0</v>
      </c>
      <c r="BI181" s="17">
        <f>H181*AP181</f>
        <v>0</v>
      </c>
      <c r="BJ181" s="17">
        <f>H181*I181</f>
        <v>0</v>
      </c>
      <c r="BK181" s="17" t="s">
        <v>674</v>
      </c>
      <c r="BL181" s="28">
        <v>784</v>
      </c>
    </row>
    <row r="182" spans="1:14" ht="12.75">
      <c r="A182" s="4"/>
      <c r="B182" s="13" t="s">
        <v>144</v>
      </c>
      <c r="C182" s="115" t="s">
        <v>453</v>
      </c>
      <c r="D182" s="116"/>
      <c r="E182" s="116"/>
      <c r="F182" s="116"/>
      <c r="G182" s="116"/>
      <c r="H182" s="116"/>
      <c r="I182" s="116"/>
      <c r="J182" s="116"/>
      <c r="K182" s="116"/>
      <c r="L182" s="116"/>
      <c r="M182" s="117"/>
      <c r="N182" s="4"/>
    </row>
    <row r="183" spans="1:14" s="86" customFormat="1" ht="12">
      <c r="A183" s="84"/>
      <c r="B183" s="85" t="s">
        <v>139</v>
      </c>
      <c r="C183" s="103" t="s">
        <v>454</v>
      </c>
      <c r="D183" s="104"/>
      <c r="E183" s="104"/>
      <c r="F183" s="104"/>
      <c r="G183" s="104"/>
      <c r="H183" s="104"/>
      <c r="I183" s="104"/>
      <c r="J183" s="104"/>
      <c r="K183" s="104"/>
      <c r="L183" s="104"/>
      <c r="M183" s="105"/>
      <c r="N183" s="84"/>
    </row>
    <row r="184" spans="1:64" ht="12.75">
      <c r="A184" s="3" t="s">
        <v>80</v>
      </c>
      <c r="B184" s="11" t="s">
        <v>224</v>
      </c>
      <c r="C184" s="106" t="s">
        <v>455</v>
      </c>
      <c r="D184" s="107"/>
      <c r="E184" s="107"/>
      <c r="F184" s="107"/>
      <c r="G184" s="11" t="s">
        <v>594</v>
      </c>
      <c r="H184" s="17">
        <v>105.98932</v>
      </c>
      <c r="I184" s="93">
        <v>0</v>
      </c>
      <c r="J184" s="17">
        <f>H184*AO184</f>
        <v>0</v>
      </c>
      <c r="K184" s="17">
        <f>H184*AP184</f>
        <v>0</v>
      </c>
      <c r="L184" s="17">
        <f>H184*I184</f>
        <v>0</v>
      </c>
      <c r="M184" s="24" t="s">
        <v>618</v>
      </c>
      <c r="N184" s="4"/>
      <c r="Z184" s="28">
        <f>IF(AQ184="5",BJ184,0)</f>
        <v>0</v>
      </c>
      <c r="AB184" s="28">
        <f>IF(AQ184="1",BH184,0)</f>
        <v>0</v>
      </c>
      <c r="AC184" s="28">
        <f>IF(AQ184="1",BI184,0)</f>
        <v>0</v>
      </c>
      <c r="AD184" s="28">
        <f>IF(AQ184="7",BH184,0)</f>
        <v>0</v>
      </c>
      <c r="AE184" s="28">
        <f>IF(AQ184="7",BI184,0)</f>
        <v>0</v>
      </c>
      <c r="AF184" s="28">
        <f>IF(AQ184="2",BH184,0)</f>
        <v>0</v>
      </c>
      <c r="AG184" s="28">
        <f>IF(AQ184="2",BI184,0)</f>
        <v>0</v>
      </c>
      <c r="AH184" s="28">
        <f>IF(AQ184="0",BJ184,0)</f>
        <v>0</v>
      </c>
      <c r="AI184" s="27"/>
      <c r="AJ184" s="17">
        <f>IF(AN184=0,L184,0)</f>
        <v>0</v>
      </c>
      <c r="AK184" s="17">
        <f>IF(AN184=15,L184,0)</f>
        <v>0</v>
      </c>
      <c r="AL184" s="17">
        <f>IF(AN184=21,L184,0)</f>
        <v>0</v>
      </c>
      <c r="AN184" s="28">
        <v>21</v>
      </c>
      <c r="AO184" s="28">
        <f>I184*0.236183221756478</f>
        <v>0</v>
      </c>
      <c r="AP184" s="28">
        <f>I184*(1-0.236183221756478)</f>
        <v>0</v>
      </c>
      <c r="AQ184" s="29" t="s">
        <v>13</v>
      </c>
      <c r="AV184" s="28">
        <f>AW184+AX184</f>
        <v>0</v>
      </c>
      <c r="AW184" s="28">
        <f>H184*AO184</f>
        <v>0</v>
      </c>
      <c r="AX184" s="28">
        <f>H184*AP184</f>
        <v>0</v>
      </c>
      <c r="AY184" s="31" t="s">
        <v>646</v>
      </c>
      <c r="AZ184" s="31" t="s">
        <v>665</v>
      </c>
      <c r="BA184" s="27" t="s">
        <v>669</v>
      </c>
      <c r="BC184" s="28">
        <f>AW184+AX184</f>
        <v>0</v>
      </c>
      <c r="BD184" s="28">
        <f>I184/(100-BE184)*100</f>
        <v>0</v>
      </c>
      <c r="BE184" s="28">
        <v>0</v>
      </c>
      <c r="BF184" s="28">
        <f>184</f>
        <v>184</v>
      </c>
      <c r="BH184" s="17">
        <f>H184*AO184</f>
        <v>0</v>
      </c>
      <c r="BI184" s="17">
        <f>H184*AP184</f>
        <v>0</v>
      </c>
      <c r="BJ184" s="17">
        <f>H184*I184</f>
        <v>0</v>
      </c>
      <c r="BK184" s="17" t="s">
        <v>674</v>
      </c>
      <c r="BL184" s="28">
        <v>784</v>
      </c>
    </row>
    <row r="185" spans="1:14" ht="12.75">
      <c r="A185" s="4"/>
      <c r="B185" s="13" t="s">
        <v>143</v>
      </c>
      <c r="C185" s="120" t="s">
        <v>456</v>
      </c>
      <c r="D185" s="121"/>
      <c r="E185" s="121"/>
      <c r="F185" s="121"/>
      <c r="G185" s="121"/>
      <c r="H185" s="121"/>
      <c r="I185" s="121"/>
      <c r="J185" s="121"/>
      <c r="K185" s="121"/>
      <c r="L185" s="121"/>
      <c r="M185" s="122"/>
      <c r="N185" s="4"/>
    </row>
    <row r="186" spans="1:14" ht="25.5" customHeight="1">
      <c r="A186" s="4"/>
      <c r="B186" s="13" t="s">
        <v>144</v>
      </c>
      <c r="C186" s="115" t="s">
        <v>457</v>
      </c>
      <c r="D186" s="116"/>
      <c r="E186" s="116"/>
      <c r="F186" s="116"/>
      <c r="G186" s="116"/>
      <c r="H186" s="116"/>
      <c r="I186" s="116"/>
      <c r="J186" s="116"/>
      <c r="K186" s="116"/>
      <c r="L186" s="116"/>
      <c r="M186" s="117"/>
      <c r="N186" s="4"/>
    </row>
    <row r="187" spans="1:64" ht="12.75">
      <c r="A187" s="3" t="s">
        <v>81</v>
      </c>
      <c r="B187" s="11" t="s">
        <v>225</v>
      </c>
      <c r="C187" s="106" t="s">
        <v>458</v>
      </c>
      <c r="D187" s="107"/>
      <c r="E187" s="107"/>
      <c r="F187" s="107"/>
      <c r="G187" s="11" t="s">
        <v>594</v>
      </c>
      <c r="H187" s="17">
        <v>105.98932</v>
      </c>
      <c r="I187" s="93">
        <v>0</v>
      </c>
      <c r="J187" s="17">
        <f>H187*AO187</f>
        <v>0</v>
      </c>
      <c r="K187" s="17">
        <f>H187*AP187</f>
        <v>0</v>
      </c>
      <c r="L187" s="17">
        <f>H187*I187</f>
        <v>0</v>
      </c>
      <c r="M187" s="24" t="s">
        <v>618</v>
      </c>
      <c r="N187" s="4"/>
      <c r="Z187" s="28">
        <f>IF(AQ187="5",BJ187,0)</f>
        <v>0</v>
      </c>
      <c r="AB187" s="28">
        <f>IF(AQ187="1",BH187,0)</f>
        <v>0</v>
      </c>
      <c r="AC187" s="28">
        <f>IF(AQ187="1",BI187,0)</f>
        <v>0</v>
      </c>
      <c r="AD187" s="28">
        <f>IF(AQ187="7",BH187,0)</f>
        <v>0</v>
      </c>
      <c r="AE187" s="28">
        <f>IF(AQ187="7",BI187,0)</f>
        <v>0</v>
      </c>
      <c r="AF187" s="28">
        <f>IF(AQ187="2",BH187,0)</f>
        <v>0</v>
      </c>
      <c r="AG187" s="28">
        <f>IF(AQ187="2",BI187,0)</f>
        <v>0</v>
      </c>
      <c r="AH187" s="28">
        <f>IF(AQ187="0",BJ187,0)</f>
        <v>0</v>
      </c>
      <c r="AI187" s="27"/>
      <c r="AJ187" s="17">
        <f>IF(AN187=0,L187,0)</f>
        <v>0</v>
      </c>
      <c r="AK187" s="17">
        <f>IF(AN187=15,L187,0)</f>
        <v>0</v>
      </c>
      <c r="AL187" s="17">
        <f>IF(AN187=21,L187,0)</f>
        <v>0</v>
      </c>
      <c r="AN187" s="28">
        <v>21</v>
      </c>
      <c r="AO187" s="28">
        <f>I187*0.293492541285553</f>
        <v>0</v>
      </c>
      <c r="AP187" s="28">
        <f>I187*(1-0.293492541285553)</f>
        <v>0</v>
      </c>
      <c r="AQ187" s="29" t="s">
        <v>13</v>
      </c>
      <c r="AV187" s="28">
        <f>AW187+AX187</f>
        <v>0</v>
      </c>
      <c r="AW187" s="28">
        <f>H187*AO187</f>
        <v>0</v>
      </c>
      <c r="AX187" s="28">
        <f>H187*AP187</f>
        <v>0</v>
      </c>
      <c r="AY187" s="31" t="s">
        <v>646</v>
      </c>
      <c r="AZ187" s="31" t="s">
        <v>665</v>
      </c>
      <c r="BA187" s="27" t="s">
        <v>669</v>
      </c>
      <c r="BC187" s="28">
        <f>AW187+AX187</f>
        <v>0</v>
      </c>
      <c r="BD187" s="28">
        <f>I187/(100-BE187)*100</f>
        <v>0</v>
      </c>
      <c r="BE187" s="28">
        <v>0</v>
      </c>
      <c r="BF187" s="28">
        <f>187</f>
        <v>187</v>
      </c>
      <c r="BH187" s="17">
        <f>H187*AO187</f>
        <v>0</v>
      </c>
      <c r="BI187" s="17">
        <f>H187*AP187</f>
        <v>0</v>
      </c>
      <c r="BJ187" s="17">
        <f>H187*I187</f>
        <v>0</v>
      </c>
      <c r="BK187" s="17" t="s">
        <v>674</v>
      </c>
      <c r="BL187" s="28">
        <v>784</v>
      </c>
    </row>
    <row r="188" spans="1:14" ht="12.75">
      <c r="A188" s="4"/>
      <c r="B188" s="13" t="s">
        <v>143</v>
      </c>
      <c r="C188" s="120" t="s">
        <v>456</v>
      </c>
      <c r="D188" s="121"/>
      <c r="E188" s="121"/>
      <c r="F188" s="121"/>
      <c r="G188" s="121"/>
      <c r="H188" s="121"/>
      <c r="I188" s="121"/>
      <c r="J188" s="121"/>
      <c r="K188" s="121"/>
      <c r="L188" s="121"/>
      <c r="M188" s="122"/>
      <c r="N188" s="4"/>
    </row>
    <row r="189" spans="1:14" ht="12.75">
      <c r="A189" s="4"/>
      <c r="B189" s="13" t="s">
        <v>144</v>
      </c>
      <c r="C189" s="115" t="s">
        <v>459</v>
      </c>
      <c r="D189" s="116"/>
      <c r="E189" s="116"/>
      <c r="F189" s="116"/>
      <c r="G189" s="116"/>
      <c r="H189" s="116"/>
      <c r="I189" s="116"/>
      <c r="J189" s="116"/>
      <c r="K189" s="116"/>
      <c r="L189" s="116"/>
      <c r="M189" s="117"/>
      <c r="N189" s="4"/>
    </row>
    <row r="190" spans="1:47" ht="12.75">
      <c r="A190" s="69"/>
      <c r="B190" s="70" t="s">
        <v>100</v>
      </c>
      <c r="C190" s="108" t="s">
        <v>460</v>
      </c>
      <c r="D190" s="109"/>
      <c r="E190" s="109"/>
      <c r="F190" s="109"/>
      <c r="G190" s="71" t="s">
        <v>6</v>
      </c>
      <c r="H190" s="71" t="s">
        <v>6</v>
      </c>
      <c r="I190" s="94" t="s">
        <v>6</v>
      </c>
      <c r="J190" s="72">
        <f>SUM(J191:J192)</f>
        <v>0</v>
      </c>
      <c r="K190" s="72">
        <f>SUM(K191:K192)</f>
        <v>0</v>
      </c>
      <c r="L190" s="72">
        <f>SUM(L191:L192)</f>
        <v>0</v>
      </c>
      <c r="M190" s="73"/>
      <c r="N190" s="4"/>
      <c r="AI190" s="27"/>
      <c r="AS190" s="33">
        <f>SUM(AJ191:AJ192)</f>
        <v>0</v>
      </c>
      <c r="AT190" s="33">
        <f>SUM(AK191:AK192)</f>
        <v>0</v>
      </c>
      <c r="AU190" s="33">
        <f>SUM(AL191:AL192)</f>
        <v>0</v>
      </c>
    </row>
    <row r="191" spans="1:64" ht="12.75">
      <c r="A191" s="3" t="s">
        <v>82</v>
      </c>
      <c r="B191" s="11" t="s">
        <v>226</v>
      </c>
      <c r="C191" s="106" t="s">
        <v>461</v>
      </c>
      <c r="D191" s="107"/>
      <c r="E191" s="107"/>
      <c r="F191" s="107"/>
      <c r="G191" s="11" t="s">
        <v>594</v>
      </c>
      <c r="H191" s="17">
        <v>8.75</v>
      </c>
      <c r="I191" s="93">
        <v>0</v>
      </c>
      <c r="J191" s="17">
        <f>H191*AO191</f>
        <v>0</v>
      </c>
      <c r="K191" s="17">
        <f>H191*AP191</f>
        <v>0</v>
      </c>
      <c r="L191" s="17">
        <f>H191*I191</f>
        <v>0</v>
      </c>
      <c r="M191" s="24" t="s">
        <v>618</v>
      </c>
      <c r="N191" s="4"/>
      <c r="Z191" s="28">
        <f>IF(AQ191="5",BJ191,0)</f>
        <v>0</v>
      </c>
      <c r="AB191" s="28">
        <f>IF(AQ191="1",BH191,0)</f>
        <v>0</v>
      </c>
      <c r="AC191" s="28">
        <f>IF(AQ191="1",BI191,0)</f>
        <v>0</v>
      </c>
      <c r="AD191" s="28">
        <f>IF(AQ191="7",BH191,0)</f>
        <v>0</v>
      </c>
      <c r="AE191" s="28">
        <f>IF(AQ191="7",BI191,0)</f>
        <v>0</v>
      </c>
      <c r="AF191" s="28">
        <f>IF(AQ191="2",BH191,0)</f>
        <v>0</v>
      </c>
      <c r="AG191" s="28">
        <f>IF(AQ191="2",BI191,0)</f>
        <v>0</v>
      </c>
      <c r="AH191" s="28">
        <f>IF(AQ191="0",BJ191,0)</f>
        <v>0</v>
      </c>
      <c r="AI191" s="27"/>
      <c r="AJ191" s="17">
        <f>IF(AN191=0,L191,0)</f>
        <v>0</v>
      </c>
      <c r="AK191" s="17">
        <f>IF(AN191=15,L191,0)</f>
        <v>0</v>
      </c>
      <c r="AL191" s="17">
        <f>IF(AN191=21,L191,0)</f>
        <v>0</v>
      </c>
      <c r="AN191" s="28">
        <v>21</v>
      </c>
      <c r="AO191" s="28">
        <f>I191*0.421747153489748</f>
        <v>0</v>
      </c>
      <c r="AP191" s="28">
        <f>I191*(1-0.421747153489748)</f>
        <v>0</v>
      </c>
      <c r="AQ191" s="29" t="s">
        <v>7</v>
      </c>
      <c r="AV191" s="28">
        <f>AW191+AX191</f>
        <v>0</v>
      </c>
      <c r="AW191" s="28">
        <f>H191*AO191</f>
        <v>0</v>
      </c>
      <c r="AX191" s="28">
        <f>H191*AP191</f>
        <v>0</v>
      </c>
      <c r="AY191" s="31" t="s">
        <v>647</v>
      </c>
      <c r="AZ191" s="31" t="s">
        <v>666</v>
      </c>
      <c r="BA191" s="27" t="s">
        <v>669</v>
      </c>
      <c r="BC191" s="28">
        <f>AW191+AX191</f>
        <v>0</v>
      </c>
      <c r="BD191" s="28">
        <f>I191/(100-BE191)*100</f>
        <v>0</v>
      </c>
      <c r="BE191" s="28">
        <v>0</v>
      </c>
      <c r="BF191" s="28">
        <f>191</f>
        <v>191</v>
      </c>
      <c r="BH191" s="17">
        <f>H191*AO191</f>
        <v>0</v>
      </c>
      <c r="BI191" s="17">
        <f>H191*AP191</f>
        <v>0</v>
      </c>
      <c r="BJ191" s="17">
        <f>H191*I191</f>
        <v>0</v>
      </c>
      <c r="BK191" s="17" t="s">
        <v>674</v>
      </c>
      <c r="BL191" s="28">
        <v>94</v>
      </c>
    </row>
    <row r="192" spans="1:64" ht="12.75">
      <c r="A192" s="3" t="s">
        <v>83</v>
      </c>
      <c r="B192" s="11" t="s">
        <v>227</v>
      </c>
      <c r="C192" s="106" t="s">
        <v>462</v>
      </c>
      <c r="D192" s="107"/>
      <c r="E192" s="107"/>
      <c r="F192" s="107"/>
      <c r="G192" s="11" t="s">
        <v>594</v>
      </c>
      <c r="H192" s="17">
        <v>401.625</v>
      </c>
      <c r="I192" s="93">
        <v>0</v>
      </c>
      <c r="J192" s="17">
        <f>H192*AO192</f>
        <v>0</v>
      </c>
      <c r="K192" s="17">
        <f>H192*AP192</f>
        <v>0</v>
      </c>
      <c r="L192" s="17">
        <f>H192*I192</f>
        <v>0</v>
      </c>
      <c r="M192" s="24" t="s">
        <v>618</v>
      </c>
      <c r="N192" s="4"/>
      <c r="Z192" s="28">
        <f>IF(AQ192="5",BJ192,0)</f>
        <v>0</v>
      </c>
      <c r="AB192" s="28">
        <f>IF(AQ192="1",BH192,0)</f>
        <v>0</v>
      </c>
      <c r="AC192" s="28">
        <f>IF(AQ192="1",BI192,0)</f>
        <v>0</v>
      </c>
      <c r="AD192" s="28">
        <f>IF(AQ192="7",BH192,0)</f>
        <v>0</v>
      </c>
      <c r="AE192" s="28">
        <f>IF(AQ192="7",BI192,0)</f>
        <v>0</v>
      </c>
      <c r="AF192" s="28">
        <f>IF(AQ192="2",BH192,0)</f>
        <v>0</v>
      </c>
      <c r="AG192" s="28">
        <f>IF(AQ192="2",BI192,0)</f>
        <v>0</v>
      </c>
      <c r="AH192" s="28">
        <f>IF(AQ192="0",BJ192,0)</f>
        <v>0</v>
      </c>
      <c r="AI192" s="27"/>
      <c r="AJ192" s="17">
        <f>IF(AN192=0,L192,0)</f>
        <v>0</v>
      </c>
      <c r="AK192" s="17">
        <f>IF(AN192=15,L192,0)</f>
        <v>0</v>
      </c>
      <c r="AL192" s="17">
        <f>IF(AN192=21,L192,0)</f>
        <v>0</v>
      </c>
      <c r="AN192" s="28">
        <v>21</v>
      </c>
      <c r="AO192" s="28">
        <f>I192*0</f>
        <v>0</v>
      </c>
      <c r="AP192" s="28">
        <f>I192*(1-0)</f>
        <v>0</v>
      </c>
      <c r="AQ192" s="29" t="s">
        <v>7</v>
      </c>
      <c r="AV192" s="28">
        <f>AW192+AX192</f>
        <v>0</v>
      </c>
      <c r="AW192" s="28">
        <f>H192*AO192</f>
        <v>0</v>
      </c>
      <c r="AX192" s="28">
        <f>H192*AP192</f>
        <v>0</v>
      </c>
      <c r="AY192" s="31" t="s">
        <v>647</v>
      </c>
      <c r="AZ192" s="31" t="s">
        <v>666</v>
      </c>
      <c r="BA192" s="27" t="s">
        <v>669</v>
      </c>
      <c r="BC192" s="28">
        <f>AW192+AX192</f>
        <v>0</v>
      </c>
      <c r="BD192" s="28">
        <f>I192/(100-BE192)*100</f>
        <v>0</v>
      </c>
      <c r="BE192" s="28">
        <v>0</v>
      </c>
      <c r="BF192" s="28">
        <f>192</f>
        <v>192</v>
      </c>
      <c r="BH192" s="17">
        <f>H192*AO192</f>
        <v>0</v>
      </c>
      <c r="BI192" s="17">
        <f>H192*AP192</f>
        <v>0</v>
      </c>
      <c r="BJ192" s="17">
        <f>H192*I192</f>
        <v>0</v>
      </c>
      <c r="BK192" s="17" t="s">
        <v>674</v>
      </c>
      <c r="BL192" s="28">
        <v>94</v>
      </c>
    </row>
    <row r="193" spans="1:14" ht="12.75">
      <c r="A193" s="4"/>
      <c r="B193" s="13" t="s">
        <v>144</v>
      </c>
      <c r="C193" s="115" t="s">
        <v>463</v>
      </c>
      <c r="D193" s="116"/>
      <c r="E193" s="116"/>
      <c r="F193" s="116"/>
      <c r="G193" s="116"/>
      <c r="H193" s="116"/>
      <c r="I193" s="116"/>
      <c r="J193" s="116"/>
      <c r="K193" s="116"/>
      <c r="L193" s="116"/>
      <c r="M193" s="117"/>
      <c r="N193" s="4"/>
    </row>
    <row r="194" spans="1:14" s="86" customFormat="1" ht="12">
      <c r="A194" s="84"/>
      <c r="B194" s="85" t="s">
        <v>139</v>
      </c>
      <c r="C194" s="103" t="s">
        <v>464</v>
      </c>
      <c r="D194" s="104"/>
      <c r="E194" s="104"/>
      <c r="F194" s="104"/>
      <c r="G194" s="104"/>
      <c r="H194" s="104"/>
      <c r="I194" s="104"/>
      <c r="J194" s="104"/>
      <c r="K194" s="104"/>
      <c r="L194" s="104"/>
      <c r="M194" s="105"/>
      <c r="N194" s="84"/>
    </row>
    <row r="195" spans="1:47" ht="12.75">
      <c r="A195" s="69"/>
      <c r="B195" s="70" t="s">
        <v>102</v>
      </c>
      <c r="C195" s="108" t="s">
        <v>465</v>
      </c>
      <c r="D195" s="109"/>
      <c r="E195" s="109"/>
      <c r="F195" s="109"/>
      <c r="G195" s="71" t="s">
        <v>6</v>
      </c>
      <c r="H195" s="71" t="s">
        <v>6</v>
      </c>
      <c r="I195" s="94" t="s">
        <v>6</v>
      </c>
      <c r="J195" s="72">
        <f>SUM(J196:J222)</f>
        <v>0</v>
      </c>
      <c r="K195" s="72">
        <f>SUM(K196:K222)</f>
        <v>0</v>
      </c>
      <c r="L195" s="72">
        <f>SUM(L196:L222)</f>
        <v>0</v>
      </c>
      <c r="M195" s="73"/>
      <c r="N195" s="4"/>
      <c r="AI195" s="27"/>
      <c r="AS195" s="33">
        <f>SUM(AJ196:AJ222)</f>
        <v>0</v>
      </c>
      <c r="AT195" s="33">
        <f>SUM(AK196:AK222)</f>
        <v>0</v>
      </c>
      <c r="AU195" s="33">
        <f>SUM(AL196:AL222)</f>
        <v>0</v>
      </c>
    </row>
    <row r="196" spans="1:64" ht="12.75">
      <c r="A196" s="3" t="s">
        <v>84</v>
      </c>
      <c r="B196" s="11" t="s">
        <v>228</v>
      </c>
      <c r="C196" s="106" t="s">
        <v>466</v>
      </c>
      <c r="D196" s="107"/>
      <c r="E196" s="107"/>
      <c r="F196" s="107"/>
      <c r="G196" s="11" t="s">
        <v>594</v>
      </c>
      <c r="H196" s="17">
        <v>27.4801</v>
      </c>
      <c r="I196" s="93">
        <v>0</v>
      </c>
      <c r="J196" s="17">
        <f>H196*AO196</f>
        <v>0</v>
      </c>
      <c r="K196" s="17">
        <f>H196*AP196</f>
        <v>0</v>
      </c>
      <c r="L196" s="17">
        <f>H196*I196</f>
        <v>0</v>
      </c>
      <c r="M196" s="24" t="s">
        <v>618</v>
      </c>
      <c r="N196" s="4"/>
      <c r="Z196" s="28">
        <f>IF(AQ196="5",BJ196,0)</f>
        <v>0</v>
      </c>
      <c r="AB196" s="28">
        <f>IF(AQ196="1",BH196,0)</f>
        <v>0</v>
      </c>
      <c r="AC196" s="28">
        <f>IF(AQ196="1",BI196,0)</f>
        <v>0</v>
      </c>
      <c r="AD196" s="28">
        <f>IF(AQ196="7",BH196,0)</f>
        <v>0</v>
      </c>
      <c r="AE196" s="28">
        <f>IF(AQ196="7",BI196,0)</f>
        <v>0</v>
      </c>
      <c r="AF196" s="28">
        <f>IF(AQ196="2",BH196,0)</f>
        <v>0</v>
      </c>
      <c r="AG196" s="28">
        <f>IF(AQ196="2",BI196,0)</f>
        <v>0</v>
      </c>
      <c r="AH196" s="28">
        <f>IF(AQ196="0",BJ196,0)</f>
        <v>0</v>
      </c>
      <c r="AI196" s="27"/>
      <c r="AJ196" s="17">
        <f>IF(AN196=0,L196,0)</f>
        <v>0</v>
      </c>
      <c r="AK196" s="17">
        <f>IF(AN196=15,L196,0)</f>
        <v>0</v>
      </c>
      <c r="AL196" s="17">
        <f>IF(AN196=21,L196,0)</f>
        <v>0</v>
      </c>
      <c r="AN196" s="28">
        <v>21</v>
      </c>
      <c r="AO196" s="28">
        <f>I196*0</f>
        <v>0</v>
      </c>
      <c r="AP196" s="28">
        <f>I196*(1-0)</f>
        <v>0</v>
      </c>
      <c r="AQ196" s="29" t="s">
        <v>7</v>
      </c>
      <c r="AV196" s="28">
        <f>AW196+AX196</f>
        <v>0</v>
      </c>
      <c r="AW196" s="28">
        <f>H196*AO196</f>
        <v>0</v>
      </c>
      <c r="AX196" s="28">
        <f>H196*AP196</f>
        <v>0</v>
      </c>
      <c r="AY196" s="31" t="s">
        <v>648</v>
      </c>
      <c r="AZ196" s="31" t="s">
        <v>666</v>
      </c>
      <c r="BA196" s="27" t="s">
        <v>669</v>
      </c>
      <c r="BC196" s="28">
        <f>AW196+AX196</f>
        <v>0</v>
      </c>
      <c r="BD196" s="28">
        <f>I196/(100-BE196)*100</f>
        <v>0</v>
      </c>
      <c r="BE196" s="28">
        <v>0</v>
      </c>
      <c r="BF196" s="28">
        <f>196</f>
        <v>196</v>
      </c>
      <c r="BH196" s="17">
        <f>H196*AO196</f>
        <v>0</v>
      </c>
      <c r="BI196" s="17">
        <f>H196*AP196</f>
        <v>0</v>
      </c>
      <c r="BJ196" s="17">
        <f>H196*I196</f>
        <v>0</v>
      </c>
      <c r="BK196" s="17" t="s">
        <v>674</v>
      </c>
      <c r="BL196" s="28">
        <v>96</v>
      </c>
    </row>
    <row r="197" spans="1:14" ht="12.75">
      <c r="A197" s="4"/>
      <c r="B197" s="13" t="s">
        <v>143</v>
      </c>
      <c r="C197" s="120" t="s">
        <v>467</v>
      </c>
      <c r="D197" s="121"/>
      <c r="E197" s="121"/>
      <c r="F197" s="121"/>
      <c r="G197" s="121"/>
      <c r="H197" s="121"/>
      <c r="I197" s="121"/>
      <c r="J197" s="121"/>
      <c r="K197" s="121"/>
      <c r="L197" s="121"/>
      <c r="M197" s="122"/>
      <c r="N197" s="4"/>
    </row>
    <row r="198" spans="1:14" ht="12.75">
      <c r="A198" s="4"/>
      <c r="B198" s="13" t="s">
        <v>144</v>
      </c>
      <c r="C198" s="115" t="s">
        <v>468</v>
      </c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4"/>
    </row>
    <row r="199" spans="1:64" ht="12.75">
      <c r="A199" s="3" t="s">
        <v>85</v>
      </c>
      <c r="B199" s="11" t="s">
        <v>229</v>
      </c>
      <c r="C199" s="106" t="s">
        <v>469</v>
      </c>
      <c r="D199" s="107"/>
      <c r="E199" s="107"/>
      <c r="F199" s="107"/>
      <c r="G199" s="11" t="s">
        <v>596</v>
      </c>
      <c r="H199" s="17">
        <v>3.57242</v>
      </c>
      <c r="I199" s="93">
        <v>0</v>
      </c>
      <c r="J199" s="17">
        <f>H199*AO199</f>
        <v>0</v>
      </c>
      <c r="K199" s="17">
        <f>H199*AP199</f>
        <v>0</v>
      </c>
      <c r="L199" s="17">
        <f>H199*I199</f>
        <v>0</v>
      </c>
      <c r="M199" s="24" t="s">
        <v>618</v>
      </c>
      <c r="N199" s="4"/>
      <c r="Z199" s="28">
        <f>IF(AQ199="5",BJ199,0)</f>
        <v>0</v>
      </c>
      <c r="AB199" s="28">
        <f>IF(AQ199="1",BH199,0)</f>
        <v>0</v>
      </c>
      <c r="AC199" s="28">
        <f>IF(AQ199="1",BI199,0)</f>
        <v>0</v>
      </c>
      <c r="AD199" s="28">
        <f>IF(AQ199="7",BH199,0)</f>
        <v>0</v>
      </c>
      <c r="AE199" s="28">
        <f>IF(AQ199="7",BI199,0)</f>
        <v>0</v>
      </c>
      <c r="AF199" s="28">
        <f>IF(AQ199="2",BH199,0)</f>
        <v>0</v>
      </c>
      <c r="AG199" s="28">
        <f>IF(AQ199="2",BI199,0)</f>
        <v>0</v>
      </c>
      <c r="AH199" s="28">
        <f>IF(AQ199="0",BJ199,0)</f>
        <v>0</v>
      </c>
      <c r="AI199" s="27"/>
      <c r="AJ199" s="17">
        <f>IF(AN199=0,L199,0)</f>
        <v>0</v>
      </c>
      <c r="AK199" s="17">
        <f>IF(AN199=15,L199,0)</f>
        <v>0</v>
      </c>
      <c r="AL199" s="17">
        <f>IF(AN199=21,L199,0)</f>
        <v>0</v>
      </c>
      <c r="AN199" s="28">
        <v>21</v>
      </c>
      <c r="AO199" s="28">
        <f>I199*0</f>
        <v>0</v>
      </c>
      <c r="AP199" s="28">
        <f>I199*(1-0)</f>
        <v>0</v>
      </c>
      <c r="AQ199" s="29" t="s">
        <v>7</v>
      </c>
      <c r="AV199" s="28">
        <f>AW199+AX199</f>
        <v>0</v>
      </c>
      <c r="AW199" s="28">
        <f>H199*AO199</f>
        <v>0</v>
      </c>
      <c r="AX199" s="28">
        <f>H199*AP199</f>
        <v>0</v>
      </c>
      <c r="AY199" s="31" t="s">
        <v>648</v>
      </c>
      <c r="AZ199" s="31" t="s">
        <v>666</v>
      </c>
      <c r="BA199" s="27" t="s">
        <v>669</v>
      </c>
      <c r="BC199" s="28">
        <f>AW199+AX199</f>
        <v>0</v>
      </c>
      <c r="BD199" s="28">
        <f>I199/(100-BE199)*100</f>
        <v>0</v>
      </c>
      <c r="BE199" s="28">
        <v>0</v>
      </c>
      <c r="BF199" s="28">
        <f>199</f>
        <v>199</v>
      </c>
      <c r="BH199" s="17">
        <f>H199*AO199</f>
        <v>0</v>
      </c>
      <c r="BI199" s="17">
        <f>H199*AP199</f>
        <v>0</v>
      </c>
      <c r="BJ199" s="17">
        <f>H199*I199</f>
        <v>0</v>
      </c>
      <c r="BK199" s="17" t="s">
        <v>674</v>
      </c>
      <c r="BL199" s="28">
        <v>96</v>
      </c>
    </row>
    <row r="200" spans="1:14" ht="12.75">
      <c r="A200" s="4"/>
      <c r="B200" s="13" t="s">
        <v>143</v>
      </c>
      <c r="C200" s="120" t="s">
        <v>470</v>
      </c>
      <c r="D200" s="121"/>
      <c r="E200" s="121"/>
      <c r="F200" s="121"/>
      <c r="G200" s="121"/>
      <c r="H200" s="121"/>
      <c r="I200" s="121"/>
      <c r="J200" s="121"/>
      <c r="K200" s="121"/>
      <c r="L200" s="121"/>
      <c r="M200" s="122"/>
      <c r="N200" s="4"/>
    </row>
    <row r="201" spans="1:14" ht="25.5" customHeight="1">
      <c r="A201" s="4"/>
      <c r="B201" s="13" t="s">
        <v>144</v>
      </c>
      <c r="C201" s="115" t="s">
        <v>471</v>
      </c>
      <c r="D201" s="116"/>
      <c r="E201" s="116"/>
      <c r="F201" s="116"/>
      <c r="G201" s="116"/>
      <c r="H201" s="116"/>
      <c r="I201" s="116"/>
      <c r="J201" s="116"/>
      <c r="K201" s="116"/>
      <c r="L201" s="116"/>
      <c r="M201" s="117"/>
      <c r="N201" s="4"/>
    </row>
    <row r="202" spans="1:14" s="86" customFormat="1" ht="12">
      <c r="A202" s="84"/>
      <c r="B202" s="85" t="s">
        <v>139</v>
      </c>
      <c r="C202" s="103" t="s">
        <v>472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5"/>
      <c r="N202" s="84"/>
    </row>
    <row r="203" spans="1:64" ht="12.75">
      <c r="A203" s="3" t="s">
        <v>86</v>
      </c>
      <c r="B203" s="11" t="s">
        <v>230</v>
      </c>
      <c r="C203" s="106" t="s">
        <v>473</v>
      </c>
      <c r="D203" s="107"/>
      <c r="E203" s="107"/>
      <c r="F203" s="107"/>
      <c r="G203" s="11" t="s">
        <v>594</v>
      </c>
      <c r="H203" s="17">
        <v>27.4801</v>
      </c>
      <c r="I203" s="93">
        <v>0</v>
      </c>
      <c r="J203" s="17">
        <f>H203*AO203</f>
        <v>0</v>
      </c>
      <c r="K203" s="17">
        <f>H203*AP203</f>
        <v>0</v>
      </c>
      <c r="L203" s="17">
        <f>H203*I203</f>
        <v>0</v>
      </c>
      <c r="M203" s="24" t="s">
        <v>618</v>
      </c>
      <c r="N203" s="4"/>
      <c r="Z203" s="28">
        <f>IF(AQ203="5",BJ203,0)</f>
        <v>0</v>
      </c>
      <c r="AB203" s="28">
        <f>IF(AQ203="1",BH203,0)</f>
        <v>0</v>
      </c>
      <c r="AC203" s="28">
        <f>IF(AQ203="1",BI203,0)</f>
        <v>0</v>
      </c>
      <c r="AD203" s="28">
        <f>IF(AQ203="7",BH203,0)</f>
        <v>0</v>
      </c>
      <c r="AE203" s="28">
        <f>IF(AQ203="7",BI203,0)</f>
        <v>0</v>
      </c>
      <c r="AF203" s="28">
        <f>IF(AQ203="2",BH203,0)</f>
        <v>0</v>
      </c>
      <c r="AG203" s="28">
        <f>IF(AQ203="2",BI203,0)</f>
        <v>0</v>
      </c>
      <c r="AH203" s="28">
        <f>IF(AQ203="0",BJ203,0)</f>
        <v>0</v>
      </c>
      <c r="AI203" s="27"/>
      <c r="AJ203" s="17">
        <f>IF(AN203=0,L203,0)</f>
        <v>0</v>
      </c>
      <c r="AK203" s="17">
        <f>IF(AN203=15,L203,0)</f>
        <v>0</v>
      </c>
      <c r="AL203" s="17">
        <f>IF(AN203=21,L203,0)</f>
        <v>0</v>
      </c>
      <c r="AN203" s="28">
        <v>21</v>
      </c>
      <c r="AO203" s="28">
        <f>I203*0</f>
        <v>0</v>
      </c>
      <c r="AP203" s="28">
        <f>I203*(1-0)</f>
        <v>0</v>
      </c>
      <c r="AQ203" s="29" t="s">
        <v>7</v>
      </c>
      <c r="AV203" s="28">
        <f>AW203+AX203</f>
        <v>0</v>
      </c>
      <c r="AW203" s="28">
        <f>H203*AO203</f>
        <v>0</v>
      </c>
      <c r="AX203" s="28">
        <f>H203*AP203</f>
        <v>0</v>
      </c>
      <c r="AY203" s="31" t="s">
        <v>648</v>
      </c>
      <c r="AZ203" s="31" t="s">
        <v>666</v>
      </c>
      <c r="BA203" s="27" t="s">
        <v>669</v>
      </c>
      <c r="BC203" s="28">
        <f>AW203+AX203</f>
        <v>0</v>
      </c>
      <c r="BD203" s="28">
        <f>I203/(100-BE203)*100</f>
        <v>0</v>
      </c>
      <c r="BE203" s="28">
        <v>0</v>
      </c>
      <c r="BF203" s="28">
        <f>203</f>
        <v>203</v>
      </c>
      <c r="BH203" s="17">
        <f>H203*AO203</f>
        <v>0</v>
      </c>
      <c r="BI203" s="17">
        <f>H203*AP203</f>
        <v>0</v>
      </c>
      <c r="BJ203" s="17">
        <f>H203*I203</f>
        <v>0</v>
      </c>
      <c r="BK203" s="17" t="s">
        <v>674</v>
      </c>
      <c r="BL203" s="28">
        <v>96</v>
      </c>
    </row>
    <row r="204" spans="1:14" ht="12.75">
      <c r="A204" s="4"/>
      <c r="B204" s="13" t="s">
        <v>144</v>
      </c>
      <c r="C204" s="115" t="s">
        <v>474</v>
      </c>
      <c r="D204" s="116"/>
      <c r="E204" s="116"/>
      <c r="F204" s="116"/>
      <c r="G204" s="116"/>
      <c r="H204" s="116"/>
      <c r="I204" s="116"/>
      <c r="J204" s="116"/>
      <c r="K204" s="116"/>
      <c r="L204" s="116"/>
      <c r="M204" s="117"/>
      <c r="N204" s="4"/>
    </row>
    <row r="205" spans="1:64" ht="12.75">
      <c r="A205" s="3" t="s">
        <v>87</v>
      </c>
      <c r="B205" s="11" t="s">
        <v>231</v>
      </c>
      <c r="C205" s="106" t="s">
        <v>475</v>
      </c>
      <c r="D205" s="107"/>
      <c r="E205" s="107"/>
      <c r="F205" s="107"/>
      <c r="G205" s="11" t="s">
        <v>596</v>
      </c>
      <c r="H205" s="17">
        <v>3.57242</v>
      </c>
      <c r="I205" s="93">
        <v>0</v>
      </c>
      <c r="J205" s="17">
        <f>H205*AO205</f>
        <v>0</v>
      </c>
      <c r="K205" s="17">
        <f>H205*AP205</f>
        <v>0</v>
      </c>
      <c r="L205" s="17">
        <f>H205*I205</f>
        <v>0</v>
      </c>
      <c r="M205" s="24" t="s">
        <v>618</v>
      </c>
      <c r="N205" s="4"/>
      <c r="Z205" s="28">
        <f>IF(AQ205="5",BJ205,0)</f>
        <v>0</v>
      </c>
      <c r="AB205" s="28">
        <f>IF(AQ205="1",BH205,0)</f>
        <v>0</v>
      </c>
      <c r="AC205" s="28">
        <f>IF(AQ205="1",BI205,0)</f>
        <v>0</v>
      </c>
      <c r="AD205" s="28">
        <f>IF(AQ205="7",BH205,0)</f>
        <v>0</v>
      </c>
      <c r="AE205" s="28">
        <f>IF(AQ205="7",BI205,0)</f>
        <v>0</v>
      </c>
      <c r="AF205" s="28">
        <f>IF(AQ205="2",BH205,0)</f>
        <v>0</v>
      </c>
      <c r="AG205" s="28">
        <f>IF(AQ205="2",BI205,0)</f>
        <v>0</v>
      </c>
      <c r="AH205" s="28">
        <f>IF(AQ205="0",BJ205,0)</f>
        <v>0</v>
      </c>
      <c r="AI205" s="27"/>
      <c r="AJ205" s="17">
        <f>IF(AN205=0,L205,0)</f>
        <v>0</v>
      </c>
      <c r="AK205" s="17">
        <f>IF(AN205=15,L205,0)</f>
        <v>0</v>
      </c>
      <c r="AL205" s="17">
        <f>IF(AN205=21,L205,0)</f>
        <v>0</v>
      </c>
      <c r="AN205" s="28">
        <v>21</v>
      </c>
      <c r="AO205" s="28">
        <f>I205*0</f>
        <v>0</v>
      </c>
      <c r="AP205" s="28">
        <f>I205*(1-0)</f>
        <v>0</v>
      </c>
      <c r="AQ205" s="29" t="s">
        <v>7</v>
      </c>
      <c r="AV205" s="28">
        <f>AW205+AX205</f>
        <v>0</v>
      </c>
      <c r="AW205" s="28">
        <f>H205*AO205</f>
        <v>0</v>
      </c>
      <c r="AX205" s="28">
        <f>H205*AP205</f>
        <v>0</v>
      </c>
      <c r="AY205" s="31" t="s">
        <v>648</v>
      </c>
      <c r="AZ205" s="31" t="s">
        <v>666</v>
      </c>
      <c r="BA205" s="27" t="s">
        <v>669</v>
      </c>
      <c r="BC205" s="28">
        <f>AW205+AX205</f>
        <v>0</v>
      </c>
      <c r="BD205" s="28">
        <f>I205/(100-BE205)*100</f>
        <v>0</v>
      </c>
      <c r="BE205" s="28">
        <v>0</v>
      </c>
      <c r="BF205" s="28">
        <f>205</f>
        <v>205</v>
      </c>
      <c r="BH205" s="17">
        <f>H205*AO205</f>
        <v>0</v>
      </c>
      <c r="BI205" s="17">
        <f>H205*AP205</f>
        <v>0</v>
      </c>
      <c r="BJ205" s="17">
        <f>H205*I205</f>
        <v>0</v>
      </c>
      <c r="BK205" s="17" t="s">
        <v>674</v>
      </c>
      <c r="BL205" s="28">
        <v>96</v>
      </c>
    </row>
    <row r="206" spans="1:14" ht="12.75">
      <c r="A206" s="4"/>
      <c r="B206" s="13" t="s">
        <v>143</v>
      </c>
      <c r="C206" s="120" t="s">
        <v>476</v>
      </c>
      <c r="D206" s="121"/>
      <c r="E206" s="121"/>
      <c r="F206" s="121"/>
      <c r="G206" s="121"/>
      <c r="H206" s="121"/>
      <c r="I206" s="121"/>
      <c r="J206" s="121"/>
      <c r="K206" s="121"/>
      <c r="L206" s="121"/>
      <c r="M206" s="122"/>
      <c r="N206" s="4"/>
    </row>
    <row r="207" spans="1:14" ht="12.75">
      <c r="A207" s="4"/>
      <c r="B207" s="13" t="s">
        <v>144</v>
      </c>
      <c r="C207" s="115" t="s">
        <v>477</v>
      </c>
      <c r="D207" s="116"/>
      <c r="E207" s="116"/>
      <c r="F207" s="116"/>
      <c r="G207" s="116"/>
      <c r="H207" s="116"/>
      <c r="I207" s="116"/>
      <c r="J207" s="116"/>
      <c r="K207" s="116"/>
      <c r="L207" s="116"/>
      <c r="M207" s="117"/>
      <c r="N207" s="4"/>
    </row>
    <row r="208" spans="1:14" s="86" customFormat="1" ht="12">
      <c r="A208" s="84"/>
      <c r="B208" s="85" t="s">
        <v>139</v>
      </c>
      <c r="C208" s="103" t="s">
        <v>478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5"/>
      <c r="N208" s="84"/>
    </row>
    <row r="209" spans="1:64" ht="12.75">
      <c r="A209" s="3" t="s">
        <v>88</v>
      </c>
      <c r="B209" s="11" t="s">
        <v>232</v>
      </c>
      <c r="C209" s="106" t="s">
        <v>479</v>
      </c>
      <c r="D209" s="107"/>
      <c r="E209" s="107"/>
      <c r="F209" s="107"/>
      <c r="G209" s="11" t="s">
        <v>596</v>
      </c>
      <c r="H209" s="17">
        <v>3.57242</v>
      </c>
      <c r="I209" s="93">
        <v>0</v>
      </c>
      <c r="J209" s="17">
        <f>H209*AO209</f>
        <v>0</v>
      </c>
      <c r="K209" s="17">
        <f>H209*AP209</f>
        <v>0</v>
      </c>
      <c r="L209" s="17">
        <f>H209*I209</f>
        <v>0</v>
      </c>
      <c r="M209" s="24" t="s">
        <v>618</v>
      </c>
      <c r="N209" s="4"/>
      <c r="Z209" s="28">
        <f>IF(AQ209="5",BJ209,0)</f>
        <v>0</v>
      </c>
      <c r="AB209" s="28">
        <f>IF(AQ209="1",BH209,0)</f>
        <v>0</v>
      </c>
      <c r="AC209" s="28">
        <f>IF(AQ209="1",BI209,0)</f>
        <v>0</v>
      </c>
      <c r="AD209" s="28">
        <f>IF(AQ209="7",BH209,0)</f>
        <v>0</v>
      </c>
      <c r="AE209" s="28">
        <f>IF(AQ209="7",BI209,0)</f>
        <v>0</v>
      </c>
      <c r="AF209" s="28">
        <f>IF(AQ209="2",BH209,0)</f>
        <v>0</v>
      </c>
      <c r="AG209" s="28">
        <f>IF(AQ209="2",BI209,0)</f>
        <v>0</v>
      </c>
      <c r="AH209" s="28">
        <f>IF(AQ209="0",BJ209,0)</f>
        <v>0</v>
      </c>
      <c r="AI209" s="27"/>
      <c r="AJ209" s="17">
        <f>IF(AN209=0,L209,0)</f>
        <v>0</v>
      </c>
      <c r="AK209" s="17">
        <f>IF(AN209=15,L209,0)</f>
        <v>0</v>
      </c>
      <c r="AL209" s="17">
        <f>IF(AN209=21,L209,0)</f>
        <v>0</v>
      </c>
      <c r="AN209" s="28">
        <v>21</v>
      </c>
      <c r="AO209" s="28">
        <f>I209*0</f>
        <v>0</v>
      </c>
      <c r="AP209" s="28">
        <f>I209*(1-0)</f>
        <v>0</v>
      </c>
      <c r="AQ209" s="29" t="s">
        <v>7</v>
      </c>
      <c r="AV209" s="28">
        <f>AW209+AX209</f>
        <v>0</v>
      </c>
      <c r="AW209" s="28">
        <f>H209*AO209</f>
        <v>0</v>
      </c>
      <c r="AX209" s="28">
        <f>H209*AP209</f>
        <v>0</v>
      </c>
      <c r="AY209" s="31" t="s">
        <v>648</v>
      </c>
      <c r="AZ209" s="31" t="s">
        <v>666</v>
      </c>
      <c r="BA209" s="27" t="s">
        <v>669</v>
      </c>
      <c r="BC209" s="28">
        <f>AW209+AX209</f>
        <v>0</v>
      </c>
      <c r="BD209" s="28">
        <f>I209/(100-BE209)*100</f>
        <v>0</v>
      </c>
      <c r="BE209" s="28">
        <v>0</v>
      </c>
      <c r="BF209" s="28">
        <f>209</f>
        <v>209</v>
      </c>
      <c r="BH209" s="17">
        <f>H209*AO209</f>
        <v>0</v>
      </c>
      <c r="BI209" s="17">
        <f>H209*AP209</f>
        <v>0</v>
      </c>
      <c r="BJ209" s="17">
        <f>H209*I209</f>
        <v>0</v>
      </c>
      <c r="BK209" s="17" t="s">
        <v>674</v>
      </c>
      <c r="BL209" s="28">
        <v>96</v>
      </c>
    </row>
    <row r="210" spans="1:14" ht="12.75">
      <c r="A210" s="4"/>
      <c r="B210" s="13" t="s">
        <v>144</v>
      </c>
      <c r="C210" s="115" t="s">
        <v>480</v>
      </c>
      <c r="D210" s="116"/>
      <c r="E210" s="116"/>
      <c r="F210" s="116"/>
      <c r="G210" s="116"/>
      <c r="H210" s="116"/>
      <c r="I210" s="116"/>
      <c r="J210" s="116"/>
      <c r="K210" s="116"/>
      <c r="L210" s="116"/>
      <c r="M210" s="117"/>
      <c r="N210" s="4"/>
    </row>
    <row r="211" spans="1:14" s="86" customFormat="1" ht="12">
      <c r="A211" s="84"/>
      <c r="B211" s="85" t="s">
        <v>139</v>
      </c>
      <c r="C211" s="103" t="s">
        <v>481</v>
      </c>
      <c r="D211" s="104"/>
      <c r="E211" s="104"/>
      <c r="F211" s="104"/>
      <c r="G211" s="104"/>
      <c r="H211" s="104"/>
      <c r="I211" s="104"/>
      <c r="J211" s="104"/>
      <c r="K211" s="104"/>
      <c r="L211" s="104"/>
      <c r="M211" s="105"/>
      <c r="N211" s="84"/>
    </row>
    <row r="212" spans="1:64" ht="12.75">
      <c r="A212" s="78" t="s">
        <v>89</v>
      </c>
      <c r="B212" s="78" t="s">
        <v>233</v>
      </c>
      <c r="C212" s="125" t="s">
        <v>482</v>
      </c>
      <c r="D212" s="107"/>
      <c r="E212" s="107"/>
      <c r="F212" s="126"/>
      <c r="G212" s="78" t="s">
        <v>594</v>
      </c>
      <c r="H212" s="79">
        <v>18.675</v>
      </c>
      <c r="I212" s="89">
        <v>0</v>
      </c>
      <c r="J212" s="79">
        <f>H212*AO212</f>
        <v>0</v>
      </c>
      <c r="K212" s="79">
        <f>H212*AP212</f>
        <v>0</v>
      </c>
      <c r="L212" s="79">
        <f>H212*I212</f>
        <v>0</v>
      </c>
      <c r="M212" s="80" t="s">
        <v>618</v>
      </c>
      <c r="N212" s="63"/>
      <c r="Z212" s="28">
        <f>IF(AQ212="5",BJ212,0)</f>
        <v>0</v>
      </c>
      <c r="AB212" s="28">
        <f>IF(AQ212="1",BH212,0)</f>
        <v>0</v>
      </c>
      <c r="AC212" s="28">
        <f>IF(AQ212="1",BI212,0)</f>
        <v>0</v>
      </c>
      <c r="AD212" s="28">
        <f>IF(AQ212="7",BH212,0)</f>
        <v>0</v>
      </c>
      <c r="AE212" s="28">
        <f>IF(AQ212="7",BI212,0)</f>
        <v>0</v>
      </c>
      <c r="AF212" s="28">
        <f>IF(AQ212="2",BH212,0)</f>
        <v>0</v>
      </c>
      <c r="AG212" s="28">
        <f>IF(AQ212="2",BI212,0)</f>
        <v>0</v>
      </c>
      <c r="AH212" s="28">
        <f>IF(AQ212="0",BJ212,0)</f>
        <v>0</v>
      </c>
      <c r="AI212" s="27"/>
      <c r="AJ212" s="17">
        <f>IF(AN212=0,L212,0)</f>
        <v>0</v>
      </c>
      <c r="AK212" s="17">
        <f>IF(AN212=15,L212,0)</f>
        <v>0</v>
      </c>
      <c r="AL212" s="17">
        <f>IF(AN212=21,L212,0)</f>
        <v>0</v>
      </c>
      <c r="AN212" s="28">
        <v>21</v>
      </c>
      <c r="AO212" s="28">
        <f>I212*0.126970813299324</f>
        <v>0</v>
      </c>
      <c r="AP212" s="28">
        <f>I212*(1-0.126970813299324)</f>
        <v>0</v>
      </c>
      <c r="AQ212" s="29" t="s">
        <v>7</v>
      </c>
      <c r="AV212" s="28">
        <f>AW212+AX212</f>
        <v>0</v>
      </c>
      <c r="AW212" s="28">
        <f>H212*AO212</f>
        <v>0</v>
      </c>
      <c r="AX212" s="28">
        <f>H212*AP212</f>
        <v>0</v>
      </c>
      <c r="AY212" s="31" t="s">
        <v>648</v>
      </c>
      <c r="AZ212" s="31" t="s">
        <v>666</v>
      </c>
      <c r="BA212" s="27" t="s">
        <v>669</v>
      </c>
      <c r="BC212" s="28">
        <f>AW212+AX212</f>
        <v>0</v>
      </c>
      <c r="BD212" s="28">
        <f>I212/(100-BE212)*100</f>
        <v>0</v>
      </c>
      <c r="BE212" s="28">
        <v>0</v>
      </c>
      <c r="BF212" s="28">
        <f>212</f>
        <v>212</v>
      </c>
      <c r="BH212" s="17">
        <f>H212*AO212</f>
        <v>0</v>
      </c>
      <c r="BI212" s="17">
        <f>H212*AP212</f>
        <v>0</v>
      </c>
      <c r="BJ212" s="17">
        <f>H212*I212</f>
        <v>0</v>
      </c>
      <c r="BK212" s="17" t="s">
        <v>674</v>
      </c>
      <c r="BL212" s="28">
        <v>96</v>
      </c>
    </row>
    <row r="213" spans="1:14" s="86" customFormat="1" ht="12">
      <c r="A213" s="84"/>
      <c r="B213" s="85" t="s">
        <v>139</v>
      </c>
      <c r="C213" s="103" t="s">
        <v>483</v>
      </c>
      <c r="D213" s="104"/>
      <c r="E213" s="104"/>
      <c r="F213" s="104"/>
      <c r="G213" s="104"/>
      <c r="H213" s="104"/>
      <c r="I213" s="104"/>
      <c r="J213" s="104"/>
      <c r="K213" s="104"/>
      <c r="L213" s="104"/>
      <c r="M213" s="105"/>
      <c r="N213" s="84"/>
    </row>
    <row r="214" spans="1:64" ht="12.75">
      <c r="A214" s="3" t="s">
        <v>90</v>
      </c>
      <c r="B214" s="11" t="s">
        <v>234</v>
      </c>
      <c r="C214" s="106" t="s">
        <v>484</v>
      </c>
      <c r="D214" s="107"/>
      <c r="E214" s="107"/>
      <c r="F214" s="107"/>
      <c r="G214" s="11" t="s">
        <v>594</v>
      </c>
      <c r="H214" s="17">
        <v>6.895</v>
      </c>
      <c r="I214" s="93">
        <v>0</v>
      </c>
      <c r="J214" s="17">
        <f>H214*AO214</f>
        <v>0</v>
      </c>
      <c r="K214" s="17">
        <f>H214*AP214</f>
        <v>0</v>
      </c>
      <c r="L214" s="17">
        <f>H214*I214</f>
        <v>0</v>
      </c>
      <c r="M214" s="24" t="s">
        <v>618</v>
      </c>
      <c r="N214" s="4"/>
      <c r="Z214" s="28">
        <f>IF(AQ214="5",BJ214,0)</f>
        <v>0</v>
      </c>
      <c r="AB214" s="28">
        <f>IF(AQ214="1",BH214,0)</f>
        <v>0</v>
      </c>
      <c r="AC214" s="28">
        <f>IF(AQ214="1",BI214,0)</f>
        <v>0</v>
      </c>
      <c r="AD214" s="28">
        <f>IF(AQ214="7",BH214,0)</f>
        <v>0</v>
      </c>
      <c r="AE214" s="28">
        <f>IF(AQ214="7",BI214,0)</f>
        <v>0</v>
      </c>
      <c r="AF214" s="28">
        <f>IF(AQ214="2",BH214,0)</f>
        <v>0</v>
      </c>
      <c r="AG214" s="28">
        <f>IF(AQ214="2",BI214,0)</f>
        <v>0</v>
      </c>
      <c r="AH214" s="28">
        <f>IF(AQ214="0",BJ214,0)</f>
        <v>0</v>
      </c>
      <c r="AI214" s="27"/>
      <c r="AJ214" s="17">
        <f>IF(AN214=0,L214,0)</f>
        <v>0</v>
      </c>
      <c r="AK214" s="17">
        <f>IF(AN214=15,L214,0)</f>
        <v>0</v>
      </c>
      <c r="AL214" s="17">
        <f>IF(AN214=21,L214,0)</f>
        <v>0</v>
      </c>
      <c r="AN214" s="28">
        <v>21</v>
      </c>
      <c r="AO214" s="28">
        <f>I214*0.0708828081707527</f>
        <v>0</v>
      </c>
      <c r="AP214" s="28">
        <f>I214*(1-0.0708828081707527)</f>
        <v>0</v>
      </c>
      <c r="AQ214" s="29" t="s">
        <v>7</v>
      </c>
      <c r="AV214" s="28">
        <f>AW214+AX214</f>
        <v>0</v>
      </c>
      <c r="AW214" s="28">
        <f>H214*AO214</f>
        <v>0</v>
      </c>
      <c r="AX214" s="28">
        <f>H214*AP214</f>
        <v>0</v>
      </c>
      <c r="AY214" s="31" t="s">
        <v>648</v>
      </c>
      <c r="AZ214" s="31" t="s">
        <v>666</v>
      </c>
      <c r="BA214" s="27" t="s">
        <v>669</v>
      </c>
      <c r="BC214" s="28">
        <f>AW214+AX214</f>
        <v>0</v>
      </c>
      <c r="BD214" s="28">
        <f>I214/(100-BE214)*100</f>
        <v>0</v>
      </c>
      <c r="BE214" s="28">
        <v>0</v>
      </c>
      <c r="BF214" s="28">
        <f>214</f>
        <v>214</v>
      </c>
      <c r="BH214" s="17">
        <f>H214*AO214</f>
        <v>0</v>
      </c>
      <c r="BI214" s="17">
        <f>H214*AP214</f>
        <v>0</v>
      </c>
      <c r="BJ214" s="17">
        <f>H214*I214</f>
        <v>0</v>
      </c>
      <c r="BK214" s="17" t="s">
        <v>674</v>
      </c>
      <c r="BL214" s="28">
        <v>96</v>
      </c>
    </row>
    <row r="215" spans="1:14" ht="25.5" customHeight="1">
      <c r="A215" s="4"/>
      <c r="B215" s="13" t="s">
        <v>144</v>
      </c>
      <c r="C215" s="115" t="s">
        <v>485</v>
      </c>
      <c r="D215" s="116"/>
      <c r="E215" s="116"/>
      <c r="F215" s="116"/>
      <c r="G215" s="116"/>
      <c r="H215" s="116"/>
      <c r="I215" s="116"/>
      <c r="J215" s="116"/>
      <c r="K215" s="116"/>
      <c r="L215" s="116"/>
      <c r="M215" s="117"/>
      <c r="N215" s="4"/>
    </row>
    <row r="216" spans="1:14" s="86" customFormat="1" ht="12">
      <c r="A216" s="84"/>
      <c r="B216" s="85" t="s">
        <v>139</v>
      </c>
      <c r="C216" s="103" t="s">
        <v>486</v>
      </c>
      <c r="D216" s="104"/>
      <c r="E216" s="104"/>
      <c r="F216" s="104"/>
      <c r="G216" s="104"/>
      <c r="H216" s="104"/>
      <c r="I216" s="104"/>
      <c r="J216" s="104"/>
      <c r="K216" s="104"/>
      <c r="L216" s="104"/>
      <c r="M216" s="105"/>
      <c r="N216" s="84"/>
    </row>
    <row r="217" spans="1:64" ht="12.75">
      <c r="A217" s="3" t="s">
        <v>91</v>
      </c>
      <c r="B217" s="11" t="s">
        <v>235</v>
      </c>
      <c r="C217" s="106" t="s">
        <v>487</v>
      </c>
      <c r="D217" s="107"/>
      <c r="E217" s="107"/>
      <c r="F217" s="107"/>
      <c r="G217" s="11" t="s">
        <v>597</v>
      </c>
      <c r="H217" s="17">
        <v>5</v>
      </c>
      <c r="I217" s="93">
        <v>0</v>
      </c>
      <c r="J217" s="17">
        <f>H217*AO217</f>
        <v>0</v>
      </c>
      <c r="K217" s="17">
        <f>H217*AP217</f>
        <v>0</v>
      </c>
      <c r="L217" s="17">
        <f>H217*I217</f>
        <v>0</v>
      </c>
      <c r="M217" s="24" t="s">
        <v>618</v>
      </c>
      <c r="N217" s="4"/>
      <c r="Z217" s="28">
        <f>IF(AQ217="5",BJ217,0)</f>
        <v>0</v>
      </c>
      <c r="AB217" s="28">
        <f>IF(AQ217="1",BH217,0)</f>
        <v>0</v>
      </c>
      <c r="AC217" s="28">
        <f>IF(AQ217="1",BI217,0)</f>
        <v>0</v>
      </c>
      <c r="AD217" s="28">
        <f>IF(AQ217="7",BH217,0)</f>
        <v>0</v>
      </c>
      <c r="AE217" s="28">
        <f>IF(AQ217="7",BI217,0)</f>
        <v>0</v>
      </c>
      <c r="AF217" s="28">
        <f>IF(AQ217="2",BH217,0)</f>
        <v>0</v>
      </c>
      <c r="AG217" s="28">
        <f>IF(AQ217="2",BI217,0)</f>
        <v>0</v>
      </c>
      <c r="AH217" s="28">
        <f>IF(AQ217="0",BJ217,0)</f>
        <v>0</v>
      </c>
      <c r="AI217" s="27"/>
      <c r="AJ217" s="17">
        <f>IF(AN217=0,L217,0)</f>
        <v>0</v>
      </c>
      <c r="AK217" s="17">
        <f>IF(AN217=15,L217,0)</f>
        <v>0</v>
      </c>
      <c r="AL217" s="17">
        <f>IF(AN217=21,L217,0)</f>
        <v>0</v>
      </c>
      <c r="AN217" s="28">
        <v>21</v>
      </c>
      <c r="AO217" s="28">
        <f>I217*0</f>
        <v>0</v>
      </c>
      <c r="AP217" s="28">
        <f>I217*(1-0)</f>
        <v>0</v>
      </c>
      <c r="AQ217" s="29" t="s">
        <v>7</v>
      </c>
      <c r="AV217" s="28">
        <f>AW217+AX217</f>
        <v>0</v>
      </c>
      <c r="AW217" s="28">
        <f>H217*AO217</f>
        <v>0</v>
      </c>
      <c r="AX217" s="28">
        <f>H217*AP217</f>
        <v>0</v>
      </c>
      <c r="AY217" s="31" t="s">
        <v>648</v>
      </c>
      <c r="AZ217" s="31" t="s">
        <v>666</v>
      </c>
      <c r="BA217" s="27" t="s">
        <v>669</v>
      </c>
      <c r="BC217" s="28">
        <f>AW217+AX217</f>
        <v>0</v>
      </c>
      <c r="BD217" s="28">
        <f>I217/(100-BE217)*100</f>
        <v>0</v>
      </c>
      <c r="BE217" s="28">
        <v>0</v>
      </c>
      <c r="BF217" s="28">
        <f>217</f>
        <v>217</v>
      </c>
      <c r="BH217" s="17">
        <f>H217*AO217</f>
        <v>0</v>
      </c>
      <c r="BI217" s="17">
        <f>H217*AP217</f>
        <v>0</v>
      </c>
      <c r="BJ217" s="17">
        <f>H217*I217</f>
        <v>0</v>
      </c>
      <c r="BK217" s="17" t="s">
        <v>674</v>
      </c>
      <c r="BL217" s="28">
        <v>96</v>
      </c>
    </row>
    <row r="218" spans="1:14" ht="12.75">
      <c r="A218" s="4"/>
      <c r="B218" s="13" t="s">
        <v>144</v>
      </c>
      <c r="C218" s="115" t="s">
        <v>488</v>
      </c>
      <c r="D218" s="116"/>
      <c r="E218" s="116"/>
      <c r="F218" s="116"/>
      <c r="G218" s="116"/>
      <c r="H218" s="116"/>
      <c r="I218" s="116"/>
      <c r="J218" s="116"/>
      <c r="K218" s="116"/>
      <c r="L218" s="116"/>
      <c r="M218" s="117"/>
      <c r="N218" s="4"/>
    </row>
    <row r="219" spans="1:64" ht="12.75">
      <c r="A219" s="3" t="s">
        <v>92</v>
      </c>
      <c r="B219" s="11" t="s">
        <v>236</v>
      </c>
      <c r="C219" s="106" t="s">
        <v>489</v>
      </c>
      <c r="D219" s="107"/>
      <c r="E219" s="107"/>
      <c r="F219" s="107"/>
      <c r="G219" s="11" t="s">
        <v>594</v>
      </c>
      <c r="H219" s="17">
        <v>2.375</v>
      </c>
      <c r="I219" s="93">
        <v>0</v>
      </c>
      <c r="J219" s="17">
        <f>H219*AO219</f>
        <v>0</v>
      </c>
      <c r="K219" s="17">
        <f>H219*AP219</f>
        <v>0</v>
      </c>
      <c r="L219" s="17">
        <f>H219*I219</f>
        <v>0</v>
      </c>
      <c r="M219" s="24" t="s">
        <v>618</v>
      </c>
      <c r="N219" s="4"/>
      <c r="Z219" s="28">
        <f>IF(AQ219="5",BJ219,0)</f>
        <v>0</v>
      </c>
      <c r="AB219" s="28">
        <f>IF(AQ219="1",BH219,0)</f>
        <v>0</v>
      </c>
      <c r="AC219" s="28">
        <f>IF(AQ219="1",BI219,0)</f>
        <v>0</v>
      </c>
      <c r="AD219" s="28">
        <f>IF(AQ219="7",BH219,0)</f>
        <v>0</v>
      </c>
      <c r="AE219" s="28">
        <f>IF(AQ219="7",BI219,0)</f>
        <v>0</v>
      </c>
      <c r="AF219" s="28">
        <f>IF(AQ219="2",BH219,0)</f>
        <v>0</v>
      </c>
      <c r="AG219" s="28">
        <f>IF(AQ219="2",BI219,0)</f>
        <v>0</v>
      </c>
      <c r="AH219" s="28">
        <f>IF(AQ219="0",BJ219,0)</f>
        <v>0</v>
      </c>
      <c r="AI219" s="27"/>
      <c r="AJ219" s="17">
        <f>IF(AN219=0,L219,0)</f>
        <v>0</v>
      </c>
      <c r="AK219" s="17">
        <f>IF(AN219=15,L219,0)</f>
        <v>0</v>
      </c>
      <c r="AL219" s="17">
        <f>IF(AN219=21,L219,0)</f>
        <v>0</v>
      </c>
      <c r="AN219" s="28">
        <v>21</v>
      </c>
      <c r="AO219" s="28">
        <f>I219*0</f>
        <v>0</v>
      </c>
      <c r="AP219" s="28">
        <f>I219*(1-0)</f>
        <v>0</v>
      </c>
      <c r="AQ219" s="29" t="s">
        <v>7</v>
      </c>
      <c r="AV219" s="28">
        <f>AW219+AX219</f>
        <v>0</v>
      </c>
      <c r="AW219" s="28">
        <f>H219*AO219</f>
        <v>0</v>
      </c>
      <c r="AX219" s="28">
        <f>H219*AP219</f>
        <v>0</v>
      </c>
      <c r="AY219" s="31" t="s">
        <v>648</v>
      </c>
      <c r="AZ219" s="31" t="s">
        <v>666</v>
      </c>
      <c r="BA219" s="27" t="s">
        <v>669</v>
      </c>
      <c r="BC219" s="28">
        <f>AW219+AX219</f>
        <v>0</v>
      </c>
      <c r="BD219" s="28">
        <f>I219/(100-BE219)*100</f>
        <v>0</v>
      </c>
      <c r="BE219" s="28">
        <v>0</v>
      </c>
      <c r="BF219" s="28">
        <f>219</f>
        <v>219</v>
      </c>
      <c r="BH219" s="17">
        <f>H219*AO219</f>
        <v>0</v>
      </c>
      <c r="BI219" s="17">
        <f>H219*AP219</f>
        <v>0</v>
      </c>
      <c r="BJ219" s="17">
        <f>H219*I219</f>
        <v>0</v>
      </c>
      <c r="BK219" s="17" t="s">
        <v>674</v>
      </c>
      <c r="BL219" s="28">
        <v>96</v>
      </c>
    </row>
    <row r="220" spans="1:14" ht="12.75">
      <c r="A220" s="4"/>
      <c r="B220" s="13" t="s">
        <v>143</v>
      </c>
      <c r="C220" s="120" t="s">
        <v>490</v>
      </c>
      <c r="D220" s="121"/>
      <c r="E220" s="121"/>
      <c r="F220" s="121"/>
      <c r="G220" s="121"/>
      <c r="H220" s="121"/>
      <c r="I220" s="121"/>
      <c r="J220" s="121"/>
      <c r="K220" s="121"/>
      <c r="L220" s="121"/>
      <c r="M220" s="122"/>
      <c r="N220" s="4"/>
    </row>
    <row r="221" spans="1:14" ht="12.75">
      <c r="A221" s="4"/>
      <c r="B221" s="13" t="s">
        <v>144</v>
      </c>
      <c r="C221" s="115" t="s">
        <v>480</v>
      </c>
      <c r="D221" s="116"/>
      <c r="E221" s="116"/>
      <c r="F221" s="116"/>
      <c r="G221" s="116"/>
      <c r="H221" s="116"/>
      <c r="I221" s="116"/>
      <c r="J221" s="116"/>
      <c r="K221" s="116"/>
      <c r="L221" s="116"/>
      <c r="M221" s="117"/>
      <c r="N221" s="4"/>
    </row>
    <row r="222" spans="1:64" ht="12.75">
      <c r="A222" s="3" t="s">
        <v>93</v>
      </c>
      <c r="B222" s="11" t="s">
        <v>237</v>
      </c>
      <c r="C222" s="106" t="s">
        <v>491</v>
      </c>
      <c r="D222" s="107"/>
      <c r="E222" s="107"/>
      <c r="F222" s="107"/>
      <c r="G222" s="11" t="s">
        <v>596</v>
      </c>
      <c r="H222" s="17">
        <v>0.08775</v>
      </c>
      <c r="I222" s="93">
        <v>0</v>
      </c>
      <c r="J222" s="17">
        <f>H222*AO222</f>
        <v>0</v>
      </c>
      <c r="K222" s="17">
        <f>H222*AP222</f>
        <v>0</v>
      </c>
      <c r="L222" s="17">
        <f>H222*I222</f>
        <v>0</v>
      </c>
      <c r="M222" s="24" t="s">
        <v>618</v>
      </c>
      <c r="N222" s="4"/>
      <c r="Z222" s="28">
        <f>IF(AQ222="5",BJ222,0)</f>
        <v>0</v>
      </c>
      <c r="AB222" s="28">
        <f>IF(AQ222="1",BH222,0)</f>
        <v>0</v>
      </c>
      <c r="AC222" s="28">
        <f>IF(AQ222="1",BI222,0)</f>
        <v>0</v>
      </c>
      <c r="AD222" s="28">
        <f>IF(AQ222="7",BH222,0)</f>
        <v>0</v>
      </c>
      <c r="AE222" s="28">
        <f>IF(AQ222="7",BI222,0)</f>
        <v>0</v>
      </c>
      <c r="AF222" s="28">
        <f>IF(AQ222="2",BH222,0)</f>
        <v>0</v>
      </c>
      <c r="AG222" s="28">
        <f>IF(AQ222="2",BI222,0)</f>
        <v>0</v>
      </c>
      <c r="AH222" s="28">
        <f>IF(AQ222="0",BJ222,0)</f>
        <v>0</v>
      </c>
      <c r="AI222" s="27"/>
      <c r="AJ222" s="17">
        <f>IF(AN222=0,L222,0)</f>
        <v>0</v>
      </c>
      <c r="AK222" s="17">
        <f>IF(AN222=15,L222,0)</f>
        <v>0</v>
      </c>
      <c r="AL222" s="17">
        <f>IF(AN222=21,L222,0)</f>
        <v>0</v>
      </c>
      <c r="AN222" s="28">
        <v>21</v>
      </c>
      <c r="AO222" s="28">
        <f>I222*0.072494012155624</f>
        <v>0</v>
      </c>
      <c r="AP222" s="28">
        <f>I222*(1-0.072494012155624)</f>
        <v>0</v>
      </c>
      <c r="AQ222" s="29" t="s">
        <v>7</v>
      </c>
      <c r="AV222" s="28">
        <f>AW222+AX222</f>
        <v>0</v>
      </c>
      <c r="AW222" s="28">
        <f>H222*AO222</f>
        <v>0</v>
      </c>
      <c r="AX222" s="28">
        <f>H222*AP222</f>
        <v>0</v>
      </c>
      <c r="AY222" s="31" t="s">
        <v>648</v>
      </c>
      <c r="AZ222" s="31" t="s">
        <v>666</v>
      </c>
      <c r="BA222" s="27" t="s">
        <v>669</v>
      </c>
      <c r="BC222" s="28">
        <f>AW222+AX222</f>
        <v>0</v>
      </c>
      <c r="BD222" s="28">
        <f>I222/(100-BE222)*100</f>
        <v>0</v>
      </c>
      <c r="BE222" s="28">
        <v>0</v>
      </c>
      <c r="BF222" s="28">
        <f>222</f>
        <v>222</v>
      </c>
      <c r="BH222" s="17">
        <f>H222*AO222</f>
        <v>0</v>
      </c>
      <c r="BI222" s="17">
        <f>H222*AP222</f>
        <v>0</v>
      </c>
      <c r="BJ222" s="17">
        <f>H222*I222</f>
        <v>0</v>
      </c>
      <c r="BK222" s="17" t="s">
        <v>674</v>
      </c>
      <c r="BL222" s="28">
        <v>96</v>
      </c>
    </row>
    <row r="223" spans="1:14" ht="12.75">
      <c r="A223" s="4"/>
      <c r="B223" s="13" t="s">
        <v>144</v>
      </c>
      <c r="C223" s="115" t="s">
        <v>480</v>
      </c>
      <c r="D223" s="116"/>
      <c r="E223" s="116"/>
      <c r="F223" s="116"/>
      <c r="G223" s="116"/>
      <c r="H223" s="116"/>
      <c r="I223" s="116"/>
      <c r="J223" s="116"/>
      <c r="K223" s="116"/>
      <c r="L223" s="116"/>
      <c r="M223" s="117"/>
      <c r="N223" s="4"/>
    </row>
    <row r="224" spans="1:14" s="86" customFormat="1" ht="12">
      <c r="A224" s="84"/>
      <c r="B224" s="85" t="s">
        <v>139</v>
      </c>
      <c r="C224" s="103" t="s">
        <v>492</v>
      </c>
      <c r="D224" s="104"/>
      <c r="E224" s="104"/>
      <c r="F224" s="104"/>
      <c r="G224" s="104"/>
      <c r="H224" s="104"/>
      <c r="I224" s="104"/>
      <c r="J224" s="104"/>
      <c r="K224" s="104"/>
      <c r="L224" s="104"/>
      <c r="M224" s="105"/>
      <c r="N224" s="84"/>
    </row>
    <row r="225" spans="1:47" ht="12.75">
      <c r="A225" s="69"/>
      <c r="B225" s="70" t="s">
        <v>103</v>
      </c>
      <c r="C225" s="108" t="s">
        <v>493</v>
      </c>
      <c r="D225" s="109"/>
      <c r="E225" s="109"/>
      <c r="F225" s="109"/>
      <c r="G225" s="71" t="s">
        <v>6</v>
      </c>
      <c r="H225" s="71" t="s">
        <v>6</v>
      </c>
      <c r="I225" s="94" t="s">
        <v>6</v>
      </c>
      <c r="J225" s="72">
        <f>SUM(J226:J226)</f>
        <v>0</v>
      </c>
      <c r="K225" s="72">
        <f>SUM(K226:K226)</f>
        <v>0</v>
      </c>
      <c r="L225" s="72">
        <f>SUM(L226:L226)</f>
        <v>0</v>
      </c>
      <c r="M225" s="73"/>
      <c r="N225" s="4"/>
      <c r="AI225" s="27"/>
      <c r="AS225" s="33">
        <f>SUM(AJ226:AJ226)</f>
        <v>0</v>
      </c>
      <c r="AT225" s="33">
        <f>SUM(AK226:AK226)</f>
        <v>0</v>
      </c>
      <c r="AU225" s="33">
        <f>SUM(AL226:AL226)</f>
        <v>0</v>
      </c>
    </row>
    <row r="226" spans="1:64" ht="12.75">
      <c r="A226" s="78" t="s">
        <v>94</v>
      </c>
      <c r="B226" s="78" t="s">
        <v>238</v>
      </c>
      <c r="C226" s="125" t="s">
        <v>494</v>
      </c>
      <c r="D226" s="107"/>
      <c r="E226" s="107"/>
      <c r="F226" s="126"/>
      <c r="G226" s="78" t="s">
        <v>594</v>
      </c>
      <c r="H226" s="79">
        <v>60.6816</v>
      </c>
      <c r="I226" s="89">
        <v>0</v>
      </c>
      <c r="J226" s="79">
        <f>H226*AO226</f>
        <v>0</v>
      </c>
      <c r="K226" s="79">
        <f>H226*AP226</f>
        <v>0</v>
      </c>
      <c r="L226" s="79">
        <f>H226*I226</f>
        <v>0</v>
      </c>
      <c r="M226" s="80" t="s">
        <v>618</v>
      </c>
      <c r="N226" s="63"/>
      <c r="Z226" s="28">
        <f>IF(AQ226="5",BJ226,0)</f>
        <v>0</v>
      </c>
      <c r="AB226" s="28">
        <f>IF(AQ226="1",BH226,0)</f>
        <v>0</v>
      </c>
      <c r="AC226" s="28">
        <f>IF(AQ226="1",BI226,0)</f>
        <v>0</v>
      </c>
      <c r="AD226" s="28">
        <f>IF(AQ226="7",BH226,0)</f>
        <v>0</v>
      </c>
      <c r="AE226" s="28">
        <f>IF(AQ226="7",BI226,0)</f>
        <v>0</v>
      </c>
      <c r="AF226" s="28">
        <f>IF(AQ226="2",BH226,0)</f>
        <v>0</v>
      </c>
      <c r="AG226" s="28">
        <f>IF(AQ226="2",BI226,0)</f>
        <v>0</v>
      </c>
      <c r="AH226" s="28">
        <f>IF(AQ226="0",BJ226,0)</f>
        <v>0</v>
      </c>
      <c r="AI226" s="27"/>
      <c r="AJ226" s="17">
        <f>IF(AN226=0,L226,0)</f>
        <v>0</v>
      </c>
      <c r="AK226" s="17">
        <f>IF(AN226=15,L226,0)</f>
        <v>0</v>
      </c>
      <c r="AL226" s="17">
        <f>IF(AN226=21,L226,0)</f>
        <v>0</v>
      </c>
      <c r="AN226" s="28">
        <v>21</v>
      </c>
      <c r="AO226" s="28">
        <f>I226*0</f>
        <v>0</v>
      </c>
      <c r="AP226" s="28">
        <f>I226*(1-0)</f>
        <v>0</v>
      </c>
      <c r="AQ226" s="29" t="s">
        <v>7</v>
      </c>
      <c r="AV226" s="28">
        <f>AW226+AX226</f>
        <v>0</v>
      </c>
      <c r="AW226" s="28">
        <f>H226*AO226</f>
        <v>0</v>
      </c>
      <c r="AX226" s="28">
        <f>H226*AP226</f>
        <v>0</v>
      </c>
      <c r="AY226" s="31" t="s">
        <v>649</v>
      </c>
      <c r="AZ226" s="31" t="s">
        <v>666</v>
      </c>
      <c r="BA226" s="27" t="s">
        <v>669</v>
      </c>
      <c r="BC226" s="28">
        <f>AW226+AX226</f>
        <v>0</v>
      </c>
      <c r="BD226" s="28">
        <f>I226/(100-BE226)*100</f>
        <v>0</v>
      </c>
      <c r="BE226" s="28">
        <v>0</v>
      </c>
      <c r="BF226" s="28">
        <f>226</f>
        <v>226</v>
      </c>
      <c r="BH226" s="17">
        <f>H226*AO226</f>
        <v>0</v>
      </c>
      <c r="BI226" s="17">
        <f>H226*AP226</f>
        <v>0</v>
      </c>
      <c r="BJ226" s="17">
        <f>H226*I226</f>
        <v>0</v>
      </c>
      <c r="BK226" s="17" t="s">
        <v>674</v>
      </c>
      <c r="BL226" s="28">
        <v>97</v>
      </c>
    </row>
    <row r="227" spans="1:14" ht="12.75">
      <c r="A227" s="4"/>
      <c r="B227" s="13" t="s">
        <v>144</v>
      </c>
      <c r="C227" s="115" t="s">
        <v>495</v>
      </c>
      <c r="D227" s="116"/>
      <c r="E227" s="116"/>
      <c r="F227" s="116"/>
      <c r="G227" s="116"/>
      <c r="H227" s="116"/>
      <c r="I227" s="116"/>
      <c r="J227" s="116"/>
      <c r="K227" s="116"/>
      <c r="L227" s="116"/>
      <c r="M227" s="117"/>
      <c r="N227" s="4"/>
    </row>
    <row r="228" spans="1:14" s="86" customFormat="1" ht="12">
      <c r="A228" s="84"/>
      <c r="B228" s="85" t="s">
        <v>139</v>
      </c>
      <c r="C228" s="103" t="s">
        <v>496</v>
      </c>
      <c r="D228" s="104"/>
      <c r="E228" s="104"/>
      <c r="F228" s="104"/>
      <c r="G228" s="104"/>
      <c r="H228" s="104"/>
      <c r="I228" s="104"/>
      <c r="J228" s="104"/>
      <c r="K228" s="104"/>
      <c r="L228" s="104"/>
      <c r="M228" s="105"/>
      <c r="N228" s="84"/>
    </row>
    <row r="229" spans="1:47" ht="12.75">
      <c r="A229" s="69"/>
      <c r="B229" s="70" t="s">
        <v>239</v>
      </c>
      <c r="C229" s="108" t="s">
        <v>497</v>
      </c>
      <c r="D229" s="109"/>
      <c r="E229" s="109"/>
      <c r="F229" s="109"/>
      <c r="G229" s="71" t="s">
        <v>6</v>
      </c>
      <c r="H229" s="71" t="s">
        <v>6</v>
      </c>
      <c r="I229" s="94" t="s">
        <v>6</v>
      </c>
      <c r="J229" s="72">
        <f>SUM(J230:J230)</f>
        <v>0</v>
      </c>
      <c r="K229" s="72">
        <f>SUM(K230:K230)</f>
        <v>0</v>
      </c>
      <c r="L229" s="72">
        <f>SUM(L230:L230)</f>
        <v>0</v>
      </c>
      <c r="M229" s="73"/>
      <c r="N229" s="4"/>
      <c r="AI229" s="27"/>
      <c r="AS229" s="33">
        <f>SUM(AJ230:AJ230)</f>
        <v>0</v>
      </c>
      <c r="AT229" s="33">
        <f>SUM(AK230:AK230)</f>
        <v>0</v>
      </c>
      <c r="AU229" s="33">
        <f>SUM(AL230:AL230)</f>
        <v>0</v>
      </c>
    </row>
    <row r="230" spans="1:64" ht="12.75">
      <c r="A230" s="3" t="s">
        <v>95</v>
      </c>
      <c r="B230" s="11" t="s">
        <v>240</v>
      </c>
      <c r="C230" s="106" t="s">
        <v>498</v>
      </c>
      <c r="D230" s="107"/>
      <c r="E230" s="107"/>
      <c r="F230" s="107"/>
      <c r="G230" s="11" t="s">
        <v>595</v>
      </c>
      <c r="H230" s="17">
        <v>30.4196</v>
      </c>
      <c r="I230" s="93">
        <v>0</v>
      </c>
      <c r="J230" s="17">
        <f>H230*AO230</f>
        <v>0</v>
      </c>
      <c r="K230" s="17">
        <f>H230*AP230</f>
        <v>0</v>
      </c>
      <c r="L230" s="17">
        <f>H230*I230</f>
        <v>0</v>
      </c>
      <c r="M230" s="24" t="s">
        <v>618</v>
      </c>
      <c r="N230" s="4"/>
      <c r="Z230" s="28">
        <f>IF(AQ230="5",BJ230,0)</f>
        <v>0</v>
      </c>
      <c r="AB230" s="28">
        <f>IF(AQ230="1",BH230,0)</f>
        <v>0</v>
      </c>
      <c r="AC230" s="28">
        <f>IF(AQ230="1",BI230,0)</f>
        <v>0</v>
      </c>
      <c r="AD230" s="28">
        <f>IF(AQ230="7",BH230,0)</f>
        <v>0</v>
      </c>
      <c r="AE230" s="28">
        <f>IF(AQ230="7",BI230,0)</f>
        <v>0</v>
      </c>
      <c r="AF230" s="28">
        <f>IF(AQ230="2",BH230,0)</f>
        <v>0</v>
      </c>
      <c r="AG230" s="28">
        <f>IF(AQ230="2",BI230,0)</f>
        <v>0</v>
      </c>
      <c r="AH230" s="28">
        <f>IF(AQ230="0",BJ230,0)</f>
        <v>0</v>
      </c>
      <c r="AI230" s="27"/>
      <c r="AJ230" s="17">
        <f>IF(AN230=0,L230,0)</f>
        <v>0</v>
      </c>
      <c r="AK230" s="17">
        <f>IF(AN230=15,L230,0)</f>
        <v>0</v>
      </c>
      <c r="AL230" s="17">
        <f>IF(AN230=21,L230,0)</f>
        <v>0</v>
      </c>
      <c r="AN230" s="28">
        <v>21</v>
      </c>
      <c r="AO230" s="28">
        <f>I230*0</f>
        <v>0</v>
      </c>
      <c r="AP230" s="28">
        <f>I230*(1-0)</f>
        <v>0</v>
      </c>
      <c r="AQ230" s="29" t="s">
        <v>11</v>
      </c>
      <c r="AV230" s="28">
        <f>AW230+AX230</f>
        <v>0</v>
      </c>
      <c r="AW230" s="28">
        <f>H230*AO230</f>
        <v>0</v>
      </c>
      <c r="AX230" s="28">
        <f>H230*AP230</f>
        <v>0</v>
      </c>
      <c r="AY230" s="31" t="s">
        <v>650</v>
      </c>
      <c r="AZ230" s="31" t="s">
        <v>666</v>
      </c>
      <c r="BA230" s="27" t="s">
        <v>669</v>
      </c>
      <c r="BC230" s="28">
        <f>AW230+AX230</f>
        <v>0</v>
      </c>
      <c r="BD230" s="28">
        <f>I230/(100-BE230)*100</f>
        <v>0</v>
      </c>
      <c r="BE230" s="28">
        <v>0</v>
      </c>
      <c r="BF230" s="28">
        <f>230</f>
        <v>230</v>
      </c>
      <c r="BH230" s="17">
        <f>H230*AO230</f>
        <v>0</v>
      </c>
      <c r="BI230" s="17">
        <f>H230*AP230</f>
        <v>0</v>
      </c>
      <c r="BJ230" s="17">
        <f>H230*I230</f>
        <v>0</v>
      </c>
      <c r="BK230" s="17" t="s">
        <v>674</v>
      </c>
      <c r="BL230" s="28" t="s">
        <v>239</v>
      </c>
    </row>
    <row r="231" spans="1:47" ht="12.75">
      <c r="A231" s="69"/>
      <c r="B231" s="70" t="s">
        <v>241</v>
      </c>
      <c r="C231" s="108" t="s">
        <v>499</v>
      </c>
      <c r="D231" s="109"/>
      <c r="E231" s="109"/>
      <c r="F231" s="109"/>
      <c r="G231" s="71" t="s">
        <v>6</v>
      </c>
      <c r="H231" s="71" t="s">
        <v>6</v>
      </c>
      <c r="I231" s="94" t="s">
        <v>6</v>
      </c>
      <c r="J231" s="72">
        <f>SUM(J232:J237)</f>
        <v>0</v>
      </c>
      <c r="K231" s="72">
        <f>SUM(K232:K237)</f>
        <v>0</v>
      </c>
      <c r="L231" s="72">
        <f>SUM(L232:L237)</f>
        <v>0</v>
      </c>
      <c r="M231" s="73"/>
      <c r="N231" s="4"/>
      <c r="AI231" s="27"/>
      <c r="AS231" s="33">
        <f>SUM(AJ232:AJ237)</f>
        <v>0</v>
      </c>
      <c r="AT231" s="33">
        <f>SUM(AK232:AK237)</f>
        <v>0</v>
      </c>
      <c r="AU231" s="33">
        <f>SUM(AL232:AL237)</f>
        <v>0</v>
      </c>
    </row>
    <row r="232" spans="1:64" ht="12.75">
      <c r="A232" s="75" t="s">
        <v>96</v>
      </c>
      <c r="B232" s="75" t="s">
        <v>242</v>
      </c>
      <c r="C232" s="123" t="s">
        <v>500</v>
      </c>
      <c r="D232" s="107"/>
      <c r="E232" s="107"/>
      <c r="F232" s="124"/>
      <c r="G232" s="75" t="s">
        <v>597</v>
      </c>
      <c r="H232" s="76">
        <v>4</v>
      </c>
      <c r="I232" s="95">
        <v>0</v>
      </c>
      <c r="J232" s="76">
        <f>H232*AO232</f>
        <v>0</v>
      </c>
      <c r="K232" s="76">
        <f>H232*AP232</f>
        <v>0</v>
      </c>
      <c r="L232" s="76">
        <f>H232*I232</f>
        <v>0</v>
      </c>
      <c r="M232" s="77" t="s">
        <v>618</v>
      </c>
      <c r="N232" s="63"/>
      <c r="Z232" s="28">
        <f>IF(AQ232="5",BJ232,0)</f>
        <v>0</v>
      </c>
      <c r="AB232" s="28">
        <f>IF(AQ232="1",BH232,0)</f>
        <v>0</v>
      </c>
      <c r="AC232" s="28">
        <f>IF(AQ232="1",BI232,0)</f>
        <v>0</v>
      </c>
      <c r="AD232" s="28">
        <f>IF(AQ232="7",BH232,0)</f>
        <v>0</v>
      </c>
      <c r="AE232" s="28">
        <f>IF(AQ232="7",BI232,0)</f>
        <v>0</v>
      </c>
      <c r="AF232" s="28">
        <f>IF(AQ232="2",BH232,0)</f>
        <v>0</v>
      </c>
      <c r="AG232" s="28">
        <f>IF(AQ232="2",BI232,0)</f>
        <v>0</v>
      </c>
      <c r="AH232" s="28">
        <f>IF(AQ232="0",BJ232,0)</f>
        <v>0</v>
      </c>
      <c r="AI232" s="27"/>
      <c r="AJ232" s="17">
        <f>IF(AN232=0,L232,0)</f>
        <v>0</v>
      </c>
      <c r="AK232" s="17">
        <f>IF(AN232=15,L232,0)</f>
        <v>0</v>
      </c>
      <c r="AL232" s="17">
        <f>IF(AN232=21,L232,0)</f>
        <v>0</v>
      </c>
      <c r="AN232" s="28">
        <v>21</v>
      </c>
      <c r="AO232" s="28">
        <f>I232*0</f>
        <v>0</v>
      </c>
      <c r="AP232" s="28">
        <f>I232*(1-0)</f>
        <v>0</v>
      </c>
      <c r="AQ232" s="29" t="s">
        <v>8</v>
      </c>
      <c r="AV232" s="28">
        <f>AW232+AX232</f>
        <v>0</v>
      </c>
      <c r="AW232" s="28">
        <f>H232*AO232</f>
        <v>0</v>
      </c>
      <c r="AX232" s="28">
        <f>H232*AP232</f>
        <v>0</v>
      </c>
      <c r="AY232" s="31" t="s">
        <v>651</v>
      </c>
      <c r="AZ232" s="31" t="s">
        <v>666</v>
      </c>
      <c r="BA232" s="27" t="s">
        <v>669</v>
      </c>
      <c r="BC232" s="28">
        <f>AW232+AX232</f>
        <v>0</v>
      </c>
      <c r="BD232" s="28">
        <f>I232/(100-BE232)*100</f>
        <v>0</v>
      </c>
      <c r="BE232" s="28">
        <v>0</v>
      </c>
      <c r="BF232" s="28">
        <f>232</f>
        <v>232</v>
      </c>
      <c r="BH232" s="17">
        <f>H232*AO232</f>
        <v>0</v>
      </c>
      <c r="BI232" s="17">
        <f>H232*AP232</f>
        <v>0</v>
      </c>
      <c r="BJ232" s="17">
        <f>H232*I232</f>
        <v>0</v>
      </c>
      <c r="BK232" s="17" t="s">
        <v>674</v>
      </c>
      <c r="BL232" s="28" t="s">
        <v>241</v>
      </c>
    </row>
    <row r="233" spans="1:64" ht="12.75">
      <c r="A233" s="78" t="s">
        <v>97</v>
      </c>
      <c r="B233" s="78" t="s">
        <v>243</v>
      </c>
      <c r="C233" s="125" t="s">
        <v>501</v>
      </c>
      <c r="D233" s="107"/>
      <c r="E233" s="107"/>
      <c r="F233" s="126"/>
      <c r="G233" s="78" t="s">
        <v>597</v>
      </c>
      <c r="H233" s="79">
        <v>11</v>
      </c>
      <c r="I233" s="89">
        <v>0</v>
      </c>
      <c r="J233" s="79">
        <f>H233*AO233</f>
        <v>0</v>
      </c>
      <c r="K233" s="79">
        <f>H233*AP233</f>
        <v>0</v>
      </c>
      <c r="L233" s="79">
        <f>H233*I233</f>
        <v>0</v>
      </c>
      <c r="M233" s="80" t="s">
        <v>618</v>
      </c>
      <c r="N233" s="63"/>
      <c r="Z233" s="28">
        <f>IF(AQ233="5",BJ233,0)</f>
        <v>0</v>
      </c>
      <c r="AB233" s="28">
        <f>IF(AQ233="1",BH233,0)</f>
        <v>0</v>
      </c>
      <c r="AC233" s="28">
        <f>IF(AQ233="1",BI233,0)</f>
        <v>0</v>
      </c>
      <c r="AD233" s="28">
        <f>IF(AQ233="7",BH233,0)</f>
        <v>0</v>
      </c>
      <c r="AE233" s="28">
        <f>IF(AQ233="7",BI233,0)</f>
        <v>0</v>
      </c>
      <c r="AF233" s="28">
        <f>IF(AQ233="2",BH233,0)</f>
        <v>0</v>
      </c>
      <c r="AG233" s="28">
        <f>IF(AQ233="2",BI233,0)</f>
        <v>0</v>
      </c>
      <c r="AH233" s="28">
        <f>IF(AQ233="0",BJ233,0)</f>
        <v>0</v>
      </c>
      <c r="AI233" s="27"/>
      <c r="AJ233" s="17">
        <f>IF(AN233=0,L233,0)</f>
        <v>0</v>
      </c>
      <c r="AK233" s="17">
        <f>IF(AN233=15,L233,0)</f>
        <v>0</v>
      </c>
      <c r="AL233" s="17">
        <f>IF(AN233=21,L233,0)</f>
        <v>0</v>
      </c>
      <c r="AN233" s="28">
        <v>21</v>
      </c>
      <c r="AO233" s="28">
        <f>I233*0.217559012200746</f>
        <v>0</v>
      </c>
      <c r="AP233" s="28">
        <f>I233*(1-0.217559012200746)</f>
        <v>0</v>
      </c>
      <c r="AQ233" s="29" t="s">
        <v>8</v>
      </c>
      <c r="AV233" s="28">
        <f>AW233+AX233</f>
        <v>0</v>
      </c>
      <c r="AW233" s="28">
        <f>H233*AO233</f>
        <v>0</v>
      </c>
      <c r="AX233" s="28">
        <f>H233*AP233</f>
        <v>0</v>
      </c>
      <c r="AY233" s="31" t="s">
        <v>651</v>
      </c>
      <c r="AZ233" s="31" t="s">
        <v>666</v>
      </c>
      <c r="BA233" s="27" t="s">
        <v>669</v>
      </c>
      <c r="BC233" s="28">
        <f>AW233+AX233</f>
        <v>0</v>
      </c>
      <c r="BD233" s="28">
        <f>I233/(100-BE233)*100</f>
        <v>0</v>
      </c>
      <c r="BE233" s="28">
        <v>0</v>
      </c>
      <c r="BF233" s="28">
        <f>233</f>
        <v>233</v>
      </c>
      <c r="BH233" s="17">
        <f>H233*AO233</f>
        <v>0</v>
      </c>
      <c r="BI233" s="17">
        <f>H233*AP233</f>
        <v>0</v>
      </c>
      <c r="BJ233" s="17">
        <f>H233*I233</f>
        <v>0</v>
      </c>
      <c r="BK233" s="17" t="s">
        <v>674</v>
      </c>
      <c r="BL233" s="28" t="s">
        <v>241</v>
      </c>
    </row>
    <row r="234" spans="1:14" ht="12.75">
      <c r="A234" s="4"/>
      <c r="B234" s="13" t="s">
        <v>143</v>
      </c>
      <c r="C234" s="120" t="s">
        <v>502</v>
      </c>
      <c r="D234" s="121"/>
      <c r="E234" s="121"/>
      <c r="F234" s="121"/>
      <c r="G234" s="121"/>
      <c r="H234" s="121"/>
      <c r="I234" s="121"/>
      <c r="J234" s="121"/>
      <c r="K234" s="121"/>
      <c r="L234" s="121"/>
      <c r="M234" s="122"/>
      <c r="N234" s="4"/>
    </row>
    <row r="235" spans="1:64" ht="12.75">
      <c r="A235" s="75" t="s">
        <v>98</v>
      </c>
      <c r="B235" s="75" t="s">
        <v>244</v>
      </c>
      <c r="C235" s="123" t="s">
        <v>503</v>
      </c>
      <c r="D235" s="107"/>
      <c r="E235" s="107"/>
      <c r="F235" s="124"/>
      <c r="G235" s="75" t="s">
        <v>597</v>
      </c>
      <c r="H235" s="76">
        <v>7</v>
      </c>
      <c r="I235" s="95">
        <v>0</v>
      </c>
      <c r="J235" s="76">
        <f>H235*AO235</f>
        <v>0</v>
      </c>
      <c r="K235" s="76">
        <f>H235*AP235</f>
        <v>0</v>
      </c>
      <c r="L235" s="76">
        <f>H235*I235</f>
        <v>0</v>
      </c>
      <c r="M235" s="77" t="s">
        <v>618</v>
      </c>
      <c r="N235" s="63"/>
      <c r="Z235" s="28">
        <f>IF(AQ235="5",BJ235,0)</f>
        <v>0</v>
      </c>
      <c r="AB235" s="28">
        <f>IF(AQ235="1",BH235,0)</f>
        <v>0</v>
      </c>
      <c r="AC235" s="28">
        <f>IF(AQ235="1",BI235,0)</f>
        <v>0</v>
      </c>
      <c r="AD235" s="28">
        <f>IF(AQ235="7",BH235,0)</f>
        <v>0</v>
      </c>
      <c r="AE235" s="28">
        <f>IF(AQ235="7",BI235,0)</f>
        <v>0</v>
      </c>
      <c r="AF235" s="28">
        <f>IF(AQ235="2",BH235,0)</f>
        <v>0</v>
      </c>
      <c r="AG235" s="28">
        <f>IF(AQ235="2",BI235,0)</f>
        <v>0</v>
      </c>
      <c r="AH235" s="28">
        <f>IF(AQ235="0",BJ235,0)</f>
        <v>0</v>
      </c>
      <c r="AI235" s="27"/>
      <c r="AJ235" s="17">
        <f>IF(AN235=0,L235,0)</f>
        <v>0</v>
      </c>
      <c r="AK235" s="17">
        <f>IF(AN235=15,L235,0)</f>
        <v>0</v>
      </c>
      <c r="AL235" s="17">
        <f>IF(AN235=21,L235,0)</f>
        <v>0</v>
      </c>
      <c r="AN235" s="28">
        <v>21</v>
      </c>
      <c r="AO235" s="28">
        <f>I235*0</f>
        <v>0</v>
      </c>
      <c r="AP235" s="28">
        <f>I235*(1-0)</f>
        <v>0</v>
      </c>
      <c r="AQ235" s="29" t="s">
        <v>8</v>
      </c>
      <c r="AV235" s="28">
        <f>AW235+AX235</f>
        <v>0</v>
      </c>
      <c r="AW235" s="28">
        <f>H235*AO235</f>
        <v>0</v>
      </c>
      <c r="AX235" s="28">
        <f>H235*AP235</f>
        <v>0</v>
      </c>
      <c r="AY235" s="31" t="s">
        <v>651</v>
      </c>
      <c r="AZ235" s="31" t="s">
        <v>666</v>
      </c>
      <c r="BA235" s="27" t="s">
        <v>669</v>
      </c>
      <c r="BC235" s="28">
        <f>AW235+AX235</f>
        <v>0</v>
      </c>
      <c r="BD235" s="28">
        <f>I235/(100-BE235)*100</f>
        <v>0</v>
      </c>
      <c r="BE235" s="28">
        <v>0</v>
      </c>
      <c r="BF235" s="28">
        <f>235</f>
        <v>235</v>
      </c>
      <c r="BH235" s="17">
        <f>H235*AO235</f>
        <v>0</v>
      </c>
      <c r="BI235" s="17">
        <f>H235*AP235</f>
        <v>0</v>
      </c>
      <c r="BJ235" s="17">
        <f>H235*I235</f>
        <v>0</v>
      </c>
      <c r="BK235" s="17" t="s">
        <v>674</v>
      </c>
      <c r="BL235" s="28" t="s">
        <v>241</v>
      </c>
    </row>
    <row r="236" spans="1:64" ht="12.75">
      <c r="A236" s="75" t="s">
        <v>99</v>
      </c>
      <c r="B236" s="75" t="s">
        <v>245</v>
      </c>
      <c r="C236" s="123" t="s">
        <v>504</v>
      </c>
      <c r="D236" s="107"/>
      <c r="E236" s="107"/>
      <c r="F236" s="124"/>
      <c r="G236" s="75" t="s">
        <v>597</v>
      </c>
      <c r="H236" s="76">
        <v>7</v>
      </c>
      <c r="I236" s="95">
        <v>0</v>
      </c>
      <c r="J236" s="76">
        <f>H236*AO236</f>
        <v>0</v>
      </c>
      <c r="K236" s="76">
        <f>H236*AP236</f>
        <v>0</v>
      </c>
      <c r="L236" s="76">
        <f>H236*I236</f>
        <v>0</v>
      </c>
      <c r="M236" s="77" t="s">
        <v>618</v>
      </c>
      <c r="N236" s="63"/>
      <c r="Z236" s="28">
        <f>IF(AQ236="5",BJ236,0)</f>
        <v>0</v>
      </c>
      <c r="AB236" s="28">
        <f>IF(AQ236="1",BH236,0)</f>
        <v>0</v>
      </c>
      <c r="AC236" s="28">
        <f>IF(AQ236="1",BI236,0)</f>
        <v>0</v>
      </c>
      <c r="AD236" s="28">
        <f>IF(AQ236="7",BH236,0)</f>
        <v>0</v>
      </c>
      <c r="AE236" s="28">
        <f>IF(AQ236="7",BI236,0)</f>
        <v>0</v>
      </c>
      <c r="AF236" s="28">
        <f>IF(AQ236="2",BH236,0)</f>
        <v>0</v>
      </c>
      <c r="AG236" s="28">
        <f>IF(AQ236="2",BI236,0)</f>
        <v>0</v>
      </c>
      <c r="AH236" s="28">
        <f>IF(AQ236="0",BJ236,0)</f>
        <v>0</v>
      </c>
      <c r="AI236" s="27"/>
      <c r="AJ236" s="17">
        <f>IF(AN236=0,L236,0)</f>
        <v>0</v>
      </c>
      <c r="AK236" s="17">
        <f>IF(AN236=15,L236,0)</f>
        <v>0</v>
      </c>
      <c r="AL236" s="17">
        <f>IF(AN236=21,L236,0)</f>
        <v>0</v>
      </c>
      <c r="AN236" s="28">
        <v>21</v>
      </c>
      <c r="AO236" s="28">
        <f>I236*0</f>
        <v>0</v>
      </c>
      <c r="AP236" s="28">
        <f>I236*(1-0)</f>
        <v>0</v>
      </c>
      <c r="AQ236" s="29" t="s">
        <v>8</v>
      </c>
      <c r="AV236" s="28">
        <f>AW236+AX236</f>
        <v>0</v>
      </c>
      <c r="AW236" s="28">
        <f>H236*AO236</f>
        <v>0</v>
      </c>
      <c r="AX236" s="28">
        <f>H236*AP236</f>
        <v>0</v>
      </c>
      <c r="AY236" s="31" t="s">
        <v>651</v>
      </c>
      <c r="AZ236" s="31" t="s">
        <v>666</v>
      </c>
      <c r="BA236" s="27" t="s">
        <v>669</v>
      </c>
      <c r="BC236" s="28">
        <f>AW236+AX236</f>
        <v>0</v>
      </c>
      <c r="BD236" s="28">
        <f>I236/(100-BE236)*100</f>
        <v>0</v>
      </c>
      <c r="BE236" s="28">
        <v>0</v>
      </c>
      <c r="BF236" s="28">
        <f>236</f>
        <v>236</v>
      </c>
      <c r="BH236" s="17">
        <f>H236*AO236</f>
        <v>0</v>
      </c>
      <c r="BI236" s="17">
        <f>H236*AP236</f>
        <v>0</v>
      </c>
      <c r="BJ236" s="17">
        <f>H236*I236</f>
        <v>0</v>
      </c>
      <c r="BK236" s="17" t="s">
        <v>674</v>
      </c>
      <c r="BL236" s="28" t="s">
        <v>241</v>
      </c>
    </row>
    <row r="237" spans="1:64" ht="12.75">
      <c r="A237" s="78" t="s">
        <v>100</v>
      </c>
      <c r="B237" s="78" t="s">
        <v>246</v>
      </c>
      <c r="C237" s="125" t="s">
        <v>505</v>
      </c>
      <c r="D237" s="107"/>
      <c r="E237" s="107"/>
      <c r="F237" s="126"/>
      <c r="G237" s="78" t="s">
        <v>597</v>
      </c>
      <c r="H237" s="79">
        <v>30</v>
      </c>
      <c r="I237" s="89">
        <v>0</v>
      </c>
      <c r="J237" s="79">
        <f>H237*AO237</f>
        <v>0</v>
      </c>
      <c r="K237" s="79">
        <f>H237*AP237</f>
        <v>0</v>
      </c>
      <c r="L237" s="79">
        <f>H237*I237</f>
        <v>0</v>
      </c>
      <c r="M237" s="80" t="s">
        <v>618</v>
      </c>
      <c r="N237" s="63"/>
      <c r="Z237" s="28">
        <f>IF(AQ237="5",BJ237,0)</f>
        <v>0</v>
      </c>
      <c r="AB237" s="28">
        <f>IF(AQ237="1",BH237,0)</f>
        <v>0</v>
      </c>
      <c r="AC237" s="28">
        <f>IF(AQ237="1",BI237,0)</f>
        <v>0</v>
      </c>
      <c r="AD237" s="28">
        <f>IF(AQ237="7",BH237,0)</f>
        <v>0</v>
      </c>
      <c r="AE237" s="28">
        <f>IF(AQ237="7",BI237,0)</f>
        <v>0</v>
      </c>
      <c r="AF237" s="28">
        <f>IF(AQ237="2",BH237,0)</f>
        <v>0</v>
      </c>
      <c r="AG237" s="28">
        <f>IF(AQ237="2",BI237,0)</f>
        <v>0</v>
      </c>
      <c r="AH237" s="28">
        <f>IF(AQ237="0",BJ237,0)</f>
        <v>0</v>
      </c>
      <c r="AI237" s="27"/>
      <c r="AJ237" s="17">
        <f>IF(AN237=0,L237,0)</f>
        <v>0</v>
      </c>
      <c r="AK237" s="17">
        <f>IF(AN237=15,L237,0)</f>
        <v>0</v>
      </c>
      <c r="AL237" s="17">
        <f>IF(AN237=21,L237,0)</f>
        <v>0</v>
      </c>
      <c r="AN237" s="28">
        <v>21</v>
      </c>
      <c r="AO237" s="28">
        <f>I237*0</f>
        <v>0</v>
      </c>
      <c r="AP237" s="28">
        <f>I237*(1-0)</f>
        <v>0</v>
      </c>
      <c r="AQ237" s="29" t="s">
        <v>8</v>
      </c>
      <c r="AV237" s="28">
        <f>AW237+AX237</f>
        <v>0</v>
      </c>
      <c r="AW237" s="28">
        <f>H237*AO237</f>
        <v>0</v>
      </c>
      <c r="AX237" s="28">
        <f>H237*AP237</f>
        <v>0</v>
      </c>
      <c r="AY237" s="31" t="s">
        <v>651</v>
      </c>
      <c r="AZ237" s="31" t="s">
        <v>666</v>
      </c>
      <c r="BA237" s="27" t="s">
        <v>669</v>
      </c>
      <c r="BC237" s="28">
        <f>AW237+AX237</f>
        <v>0</v>
      </c>
      <c r="BD237" s="28">
        <f>I237/(100-BE237)*100</f>
        <v>0</v>
      </c>
      <c r="BE237" s="28">
        <v>0</v>
      </c>
      <c r="BF237" s="28">
        <f>237</f>
        <v>237</v>
      </c>
      <c r="BH237" s="17">
        <f>H237*AO237</f>
        <v>0</v>
      </c>
      <c r="BI237" s="17">
        <f>H237*AP237</f>
        <v>0</v>
      </c>
      <c r="BJ237" s="17">
        <f>H237*I237</f>
        <v>0</v>
      </c>
      <c r="BK237" s="17" t="s">
        <v>674</v>
      </c>
      <c r="BL237" s="28" t="s">
        <v>241</v>
      </c>
    </row>
    <row r="238" spans="1:47" ht="12.75">
      <c r="A238" s="69"/>
      <c r="B238" s="70" t="s">
        <v>247</v>
      </c>
      <c r="C238" s="108" t="s">
        <v>506</v>
      </c>
      <c r="D238" s="109"/>
      <c r="E238" s="109"/>
      <c r="F238" s="109"/>
      <c r="G238" s="71" t="s">
        <v>6</v>
      </c>
      <c r="H238" s="71" t="s">
        <v>6</v>
      </c>
      <c r="I238" s="94" t="s">
        <v>6</v>
      </c>
      <c r="J238" s="72">
        <f>SUM(J239:J242)</f>
        <v>0</v>
      </c>
      <c r="K238" s="72">
        <f>SUM(K239:K242)</f>
        <v>0</v>
      </c>
      <c r="L238" s="72">
        <f>SUM(L239:L242)</f>
        <v>0</v>
      </c>
      <c r="M238" s="73"/>
      <c r="N238" s="4"/>
      <c r="AI238" s="27"/>
      <c r="AS238" s="33">
        <f>SUM(AJ239:AJ242)</f>
        <v>0</v>
      </c>
      <c r="AT238" s="33">
        <f>SUM(AK239:AK242)</f>
        <v>0</v>
      </c>
      <c r="AU238" s="33">
        <f>SUM(AL239:AL242)</f>
        <v>0</v>
      </c>
    </row>
    <row r="239" spans="1:64" ht="12.75">
      <c r="A239" s="75" t="s">
        <v>101</v>
      </c>
      <c r="B239" s="75" t="s">
        <v>248</v>
      </c>
      <c r="C239" s="123" t="s">
        <v>507</v>
      </c>
      <c r="D239" s="107"/>
      <c r="E239" s="107"/>
      <c r="F239" s="124"/>
      <c r="G239" s="75" t="s">
        <v>597</v>
      </c>
      <c r="H239" s="76">
        <v>18</v>
      </c>
      <c r="I239" s="95">
        <v>0</v>
      </c>
      <c r="J239" s="76">
        <f>H239*AO239</f>
        <v>0</v>
      </c>
      <c r="K239" s="76">
        <f>H239*AP239</f>
        <v>0</v>
      </c>
      <c r="L239" s="76">
        <f>H239*I239</f>
        <v>0</v>
      </c>
      <c r="M239" s="77" t="s">
        <v>618</v>
      </c>
      <c r="N239" s="63"/>
      <c r="Z239" s="28">
        <f>IF(AQ239="5",BJ239,0)</f>
        <v>0</v>
      </c>
      <c r="AB239" s="28">
        <f>IF(AQ239="1",BH239,0)</f>
        <v>0</v>
      </c>
      <c r="AC239" s="28">
        <f>IF(AQ239="1",BI239,0)</f>
        <v>0</v>
      </c>
      <c r="AD239" s="28">
        <f>IF(AQ239="7",BH239,0)</f>
        <v>0</v>
      </c>
      <c r="AE239" s="28">
        <f>IF(AQ239="7",BI239,0)</f>
        <v>0</v>
      </c>
      <c r="AF239" s="28">
        <f>IF(AQ239="2",BH239,0)</f>
        <v>0</v>
      </c>
      <c r="AG239" s="28">
        <f>IF(AQ239="2",BI239,0)</f>
        <v>0</v>
      </c>
      <c r="AH239" s="28">
        <f>IF(AQ239="0",BJ239,0)</f>
        <v>0</v>
      </c>
      <c r="AI239" s="27"/>
      <c r="AJ239" s="17">
        <f>IF(AN239=0,L239,0)</f>
        <v>0</v>
      </c>
      <c r="AK239" s="17">
        <f>IF(AN239=15,L239,0)</f>
        <v>0</v>
      </c>
      <c r="AL239" s="17">
        <f>IF(AN239=21,L239,0)</f>
        <v>0</v>
      </c>
      <c r="AN239" s="28">
        <v>21</v>
      </c>
      <c r="AO239" s="28">
        <f>I239*0.0466894197952218</f>
        <v>0</v>
      </c>
      <c r="AP239" s="28">
        <f>I239*(1-0.0466894197952218)</f>
        <v>0</v>
      </c>
      <c r="AQ239" s="29" t="s">
        <v>8</v>
      </c>
      <c r="AV239" s="28">
        <f>AW239+AX239</f>
        <v>0</v>
      </c>
      <c r="AW239" s="28">
        <f>H239*AO239</f>
        <v>0</v>
      </c>
      <c r="AX239" s="28">
        <f>H239*AP239</f>
        <v>0</v>
      </c>
      <c r="AY239" s="31" t="s">
        <v>652</v>
      </c>
      <c r="AZ239" s="31" t="s">
        <v>666</v>
      </c>
      <c r="BA239" s="27" t="s">
        <v>669</v>
      </c>
      <c r="BC239" s="28">
        <f>AW239+AX239</f>
        <v>0</v>
      </c>
      <c r="BD239" s="28">
        <f>I239/(100-BE239)*100</f>
        <v>0</v>
      </c>
      <c r="BE239" s="28">
        <v>0</v>
      </c>
      <c r="BF239" s="28">
        <f>239</f>
        <v>239</v>
      </c>
      <c r="BH239" s="17">
        <f>H239*AO239</f>
        <v>0</v>
      </c>
      <c r="BI239" s="17">
        <f>H239*AP239</f>
        <v>0</v>
      </c>
      <c r="BJ239" s="17">
        <f>H239*I239</f>
        <v>0</v>
      </c>
      <c r="BK239" s="17" t="s">
        <v>674</v>
      </c>
      <c r="BL239" s="28" t="s">
        <v>247</v>
      </c>
    </row>
    <row r="240" spans="1:64" ht="12.75">
      <c r="A240" s="78" t="s">
        <v>102</v>
      </c>
      <c r="B240" s="78" t="s">
        <v>249</v>
      </c>
      <c r="C240" s="125" t="s">
        <v>508</v>
      </c>
      <c r="D240" s="107"/>
      <c r="E240" s="107"/>
      <c r="F240" s="126"/>
      <c r="G240" s="78" t="s">
        <v>598</v>
      </c>
      <c r="H240" s="79">
        <v>70</v>
      </c>
      <c r="I240" s="89">
        <v>0</v>
      </c>
      <c r="J240" s="79">
        <f>H240*AO240</f>
        <v>0</v>
      </c>
      <c r="K240" s="79">
        <f>H240*AP240</f>
        <v>0</v>
      </c>
      <c r="L240" s="79">
        <f>H240*I240</f>
        <v>0</v>
      </c>
      <c r="M240" s="80" t="s">
        <v>618</v>
      </c>
      <c r="N240" s="63"/>
      <c r="Z240" s="28">
        <f>IF(AQ240="5",BJ240,0)</f>
        <v>0</v>
      </c>
      <c r="AB240" s="28">
        <f>IF(AQ240="1",BH240,0)</f>
        <v>0</v>
      </c>
      <c r="AC240" s="28">
        <f>IF(AQ240="1",BI240,0)</f>
        <v>0</v>
      </c>
      <c r="AD240" s="28">
        <f>IF(AQ240="7",BH240,0)</f>
        <v>0</v>
      </c>
      <c r="AE240" s="28">
        <f>IF(AQ240="7",BI240,0)</f>
        <v>0</v>
      </c>
      <c r="AF240" s="28">
        <f>IF(AQ240="2",BH240,0)</f>
        <v>0</v>
      </c>
      <c r="AG240" s="28">
        <f>IF(AQ240="2",BI240,0)</f>
        <v>0</v>
      </c>
      <c r="AH240" s="28">
        <f>IF(AQ240="0",BJ240,0)</f>
        <v>0</v>
      </c>
      <c r="AI240" s="27"/>
      <c r="AJ240" s="17">
        <f>IF(AN240=0,L240,0)</f>
        <v>0</v>
      </c>
      <c r="AK240" s="17">
        <f>IF(AN240=15,L240,0)</f>
        <v>0</v>
      </c>
      <c r="AL240" s="17">
        <f>IF(AN240=21,L240,0)</f>
        <v>0</v>
      </c>
      <c r="AN240" s="28">
        <v>21</v>
      </c>
      <c r="AO240" s="28">
        <f>I240*0</f>
        <v>0</v>
      </c>
      <c r="AP240" s="28">
        <f>I240*(1-0)</f>
        <v>0</v>
      </c>
      <c r="AQ240" s="29" t="s">
        <v>8</v>
      </c>
      <c r="AV240" s="28">
        <f>AW240+AX240</f>
        <v>0</v>
      </c>
      <c r="AW240" s="28">
        <f>H240*AO240</f>
        <v>0</v>
      </c>
      <c r="AX240" s="28">
        <f>H240*AP240</f>
        <v>0</v>
      </c>
      <c r="AY240" s="31" t="s">
        <v>652</v>
      </c>
      <c r="AZ240" s="31" t="s">
        <v>666</v>
      </c>
      <c r="BA240" s="27" t="s">
        <v>669</v>
      </c>
      <c r="BC240" s="28">
        <f>AW240+AX240</f>
        <v>0</v>
      </c>
      <c r="BD240" s="28">
        <f>I240/(100-BE240)*100</f>
        <v>0</v>
      </c>
      <c r="BE240" s="28">
        <v>0</v>
      </c>
      <c r="BF240" s="28">
        <f>240</f>
        <v>240</v>
      </c>
      <c r="BH240" s="17">
        <f>H240*AO240</f>
        <v>0</v>
      </c>
      <c r="BI240" s="17">
        <f>H240*AP240</f>
        <v>0</v>
      </c>
      <c r="BJ240" s="17">
        <f>H240*I240</f>
        <v>0</v>
      </c>
      <c r="BK240" s="17" t="s">
        <v>674</v>
      </c>
      <c r="BL240" s="28" t="s">
        <v>247</v>
      </c>
    </row>
    <row r="241" spans="1:14" s="86" customFormat="1" ht="12">
      <c r="A241" s="84"/>
      <c r="B241" s="85" t="s">
        <v>139</v>
      </c>
      <c r="C241" s="103" t="s">
        <v>509</v>
      </c>
      <c r="D241" s="104"/>
      <c r="E241" s="104"/>
      <c r="F241" s="104"/>
      <c r="G241" s="104"/>
      <c r="H241" s="104"/>
      <c r="I241" s="104"/>
      <c r="J241" s="104"/>
      <c r="K241" s="104"/>
      <c r="L241" s="104"/>
      <c r="M241" s="105"/>
      <c r="N241" s="84"/>
    </row>
    <row r="242" spans="1:64" ht="12.75">
      <c r="A242" s="78" t="s">
        <v>103</v>
      </c>
      <c r="B242" s="78" t="s">
        <v>250</v>
      </c>
      <c r="C242" s="125" t="s">
        <v>510</v>
      </c>
      <c r="D242" s="107"/>
      <c r="E242" s="107"/>
      <c r="F242" s="126"/>
      <c r="G242" s="78" t="s">
        <v>598</v>
      </c>
      <c r="H242" s="79">
        <v>70</v>
      </c>
      <c r="I242" s="89">
        <v>0</v>
      </c>
      <c r="J242" s="79">
        <f>H242*AO242</f>
        <v>0</v>
      </c>
      <c r="K242" s="79">
        <f>H242*AP242</f>
        <v>0</v>
      </c>
      <c r="L242" s="79">
        <f>H242*I242</f>
        <v>0</v>
      </c>
      <c r="M242" s="80" t="s">
        <v>618</v>
      </c>
      <c r="N242" s="63"/>
      <c r="Z242" s="28">
        <f>IF(AQ242="5",BJ242,0)</f>
        <v>0</v>
      </c>
      <c r="AB242" s="28">
        <f>IF(AQ242="1",BH242,0)</f>
        <v>0</v>
      </c>
      <c r="AC242" s="28">
        <f>IF(AQ242="1",BI242,0)</f>
        <v>0</v>
      </c>
      <c r="AD242" s="28">
        <f>IF(AQ242="7",BH242,0)</f>
        <v>0</v>
      </c>
      <c r="AE242" s="28">
        <f>IF(AQ242="7",BI242,0)</f>
        <v>0</v>
      </c>
      <c r="AF242" s="28">
        <f>IF(AQ242="2",BH242,0)</f>
        <v>0</v>
      </c>
      <c r="AG242" s="28">
        <f>IF(AQ242="2",BI242,0)</f>
        <v>0</v>
      </c>
      <c r="AH242" s="28">
        <f>IF(AQ242="0",BJ242,0)</f>
        <v>0</v>
      </c>
      <c r="AI242" s="27"/>
      <c r="AJ242" s="17">
        <f>IF(AN242=0,L242,0)</f>
        <v>0</v>
      </c>
      <c r="AK242" s="17">
        <f>IF(AN242=15,L242,0)</f>
        <v>0</v>
      </c>
      <c r="AL242" s="17">
        <f>IF(AN242=21,L242,0)</f>
        <v>0</v>
      </c>
      <c r="AN242" s="28">
        <v>21</v>
      </c>
      <c r="AO242" s="28">
        <f>I242*0.167155963302752</f>
        <v>0</v>
      </c>
      <c r="AP242" s="28">
        <f>I242*(1-0.167155963302752)</f>
        <v>0</v>
      </c>
      <c r="AQ242" s="29" t="s">
        <v>8</v>
      </c>
      <c r="AV242" s="28">
        <f>AW242+AX242</f>
        <v>0</v>
      </c>
      <c r="AW242" s="28">
        <f>H242*AO242</f>
        <v>0</v>
      </c>
      <c r="AX242" s="28">
        <f>H242*AP242</f>
        <v>0</v>
      </c>
      <c r="AY242" s="31" t="s">
        <v>652</v>
      </c>
      <c r="AZ242" s="31" t="s">
        <v>666</v>
      </c>
      <c r="BA242" s="27" t="s">
        <v>669</v>
      </c>
      <c r="BC242" s="28">
        <f>AW242+AX242</f>
        <v>0</v>
      </c>
      <c r="BD242" s="28">
        <f>I242/(100-BE242)*100</f>
        <v>0</v>
      </c>
      <c r="BE242" s="28">
        <v>0</v>
      </c>
      <c r="BF242" s="28">
        <f>242</f>
        <v>242</v>
      </c>
      <c r="BH242" s="17">
        <f>H242*AO242</f>
        <v>0</v>
      </c>
      <c r="BI242" s="17">
        <f>H242*AP242</f>
        <v>0</v>
      </c>
      <c r="BJ242" s="17">
        <f>H242*I242</f>
        <v>0</v>
      </c>
      <c r="BK242" s="17" t="s">
        <v>674</v>
      </c>
      <c r="BL242" s="28" t="s">
        <v>247</v>
      </c>
    </row>
    <row r="243" spans="1:14" s="86" customFormat="1" ht="12">
      <c r="A243" s="84"/>
      <c r="B243" s="85" t="s">
        <v>139</v>
      </c>
      <c r="C243" s="103" t="s">
        <v>509</v>
      </c>
      <c r="D243" s="104"/>
      <c r="E243" s="104"/>
      <c r="F243" s="104"/>
      <c r="G243" s="104"/>
      <c r="H243" s="104"/>
      <c r="I243" s="104"/>
      <c r="J243" s="104"/>
      <c r="K243" s="104"/>
      <c r="L243" s="104"/>
      <c r="M243" s="105"/>
      <c r="N243" s="84"/>
    </row>
    <row r="244" spans="1:47" ht="12.75">
      <c r="A244" s="69"/>
      <c r="B244" s="70" t="s">
        <v>251</v>
      </c>
      <c r="C244" s="108" t="s">
        <v>511</v>
      </c>
      <c r="D244" s="109"/>
      <c r="E244" s="109"/>
      <c r="F244" s="109"/>
      <c r="G244" s="71" t="s">
        <v>6</v>
      </c>
      <c r="H244" s="71" t="s">
        <v>6</v>
      </c>
      <c r="I244" s="94" t="s">
        <v>6</v>
      </c>
      <c r="J244" s="72">
        <f>SUM(J245:J248)</f>
        <v>0</v>
      </c>
      <c r="K244" s="72">
        <f>SUM(K245:K248)</f>
        <v>0</v>
      </c>
      <c r="L244" s="72">
        <f>SUM(L245:L248)</f>
        <v>0</v>
      </c>
      <c r="M244" s="73"/>
      <c r="N244" s="4"/>
      <c r="AI244" s="27"/>
      <c r="AS244" s="33">
        <f>SUM(AJ245:AJ248)</f>
        <v>0</v>
      </c>
      <c r="AT244" s="33">
        <f>SUM(AK245:AK248)</f>
        <v>0</v>
      </c>
      <c r="AU244" s="33">
        <f>SUM(AL245:AL248)</f>
        <v>0</v>
      </c>
    </row>
    <row r="245" spans="1:64" ht="12.75">
      <c r="A245" s="75" t="s">
        <v>104</v>
      </c>
      <c r="B245" s="75" t="s">
        <v>252</v>
      </c>
      <c r="C245" s="123" t="s">
        <v>512</v>
      </c>
      <c r="D245" s="107"/>
      <c r="E245" s="107"/>
      <c r="F245" s="124"/>
      <c r="G245" s="75" t="s">
        <v>597</v>
      </c>
      <c r="H245" s="76">
        <v>6</v>
      </c>
      <c r="I245" s="95">
        <v>0</v>
      </c>
      <c r="J245" s="76">
        <f>H245*AO245</f>
        <v>0</v>
      </c>
      <c r="K245" s="76">
        <f>H245*AP245</f>
        <v>0</v>
      </c>
      <c r="L245" s="76">
        <f>H245*I245</f>
        <v>0</v>
      </c>
      <c r="M245" s="77" t="s">
        <v>618</v>
      </c>
      <c r="N245" s="63"/>
      <c r="Z245" s="28">
        <f>IF(AQ245="5",BJ245,0)</f>
        <v>0</v>
      </c>
      <c r="AB245" s="28">
        <f>IF(AQ245="1",BH245,0)</f>
        <v>0</v>
      </c>
      <c r="AC245" s="28">
        <f>IF(AQ245="1",BI245,0)</f>
        <v>0</v>
      </c>
      <c r="AD245" s="28">
        <f>IF(AQ245="7",BH245,0)</f>
        <v>0</v>
      </c>
      <c r="AE245" s="28">
        <f>IF(AQ245="7",BI245,0)</f>
        <v>0</v>
      </c>
      <c r="AF245" s="28">
        <f>IF(AQ245="2",BH245,0)</f>
        <v>0</v>
      </c>
      <c r="AG245" s="28">
        <f>IF(AQ245="2",BI245,0)</f>
        <v>0</v>
      </c>
      <c r="AH245" s="28">
        <f>IF(AQ245="0",BJ245,0)</f>
        <v>0</v>
      </c>
      <c r="AI245" s="27"/>
      <c r="AJ245" s="17">
        <f>IF(AN245=0,L245,0)</f>
        <v>0</v>
      </c>
      <c r="AK245" s="17">
        <f>IF(AN245=15,L245,0)</f>
        <v>0</v>
      </c>
      <c r="AL245" s="17">
        <f>IF(AN245=21,L245,0)</f>
        <v>0</v>
      </c>
      <c r="AN245" s="28">
        <v>21</v>
      </c>
      <c r="AO245" s="28">
        <f>I245*0</f>
        <v>0</v>
      </c>
      <c r="AP245" s="28">
        <f>I245*(1-0)</f>
        <v>0</v>
      </c>
      <c r="AQ245" s="29" t="s">
        <v>8</v>
      </c>
      <c r="AV245" s="28">
        <f>AW245+AX245</f>
        <v>0</v>
      </c>
      <c r="AW245" s="28">
        <f>H245*AO245</f>
        <v>0</v>
      </c>
      <c r="AX245" s="28">
        <f>H245*AP245</f>
        <v>0</v>
      </c>
      <c r="AY245" s="31" t="s">
        <v>653</v>
      </c>
      <c r="AZ245" s="31" t="s">
        <v>666</v>
      </c>
      <c r="BA245" s="27" t="s">
        <v>669</v>
      </c>
      <c r="BC245" s="28">
        <f>AW245+AX245</f>
        <v>0</v>
      </c>
      <c r="BD245" s="28">
        <f>I245/(100-BE245)*100</f>
        <v>0</v>
      </c>
      <c r="BE245" s="28">
        <v>0</v>
      </c>
      <c r="BF245" s="28">
        <f>245</f>
        <v>245</v>
      </c>
      <c r="BH245" s="17">
        <f>H245*AO245</f>
        <v>0</v>
      </c>
      <c r="BI245" s="17">
        <f>H245*AP245</f>
        <v>0</v>
      </c>
      <c r="BJ245" s="17">
        <f>H245*I245</f>
        <v>0</v>
      </c>
      <c r="BK245" s="17" t="s">
        <v>674</v>
      </c>
      <c r="BL245" s="28" t="s">
        <v>251</v>
      </c>
    </row>
    <row r="246" spans="1:64" ht="12.75">
      <c r="A246" s="75" t="s">
        <v>105</v>
      </c>
      <c r="B246" s="75" t="s">
        <v>253</v>
      </c>
      <c r="C246" s="123" t="s">
        <v>513</v>
      </c>
      <c r="D246" s="107"/>
      <c r="E246" s="107"/>
      <c r="F246" s="124"/>
      <c r="G246" s="75" t="s">
        <v>597</v>
      </c>
      <c r="H246" s="76">
        <v>4</v>
      </c>
      <c r="I246" s="95">
        <v>0</v>
      </c>
      <c r="J246" s="76">
        <f>H246*AO246</f>
        <v>0</v>
      </c>
      <c r="K246" s="76">
        <f>H246*AP246</f>
        <v>0</v>
      </c>
      <c r="L246" s="76">
        <f>H246*I246</f>
        <v>0</v>
      </c>
      <c r="M246" s="77" t="s">
        <v>618</v>
      </c>
      <c r="N246" s="63"/>
      <c r="Z246" s="28">
        <f>IF(AQ246="5",BJ246,0)</f>
        <v>0</v>
      </c>
      <c r="AB246" s="28">
        <f>IF(AQ246="1",BH246,0)</f>
        <v>0</v>
      </c>
      <c r="AC246" s="28">
        <f>IF(AQ246="1",BI246,0)</f>
        <v>0</v>
      </c>
      <c r="AD246" s="28">
        <f>IF(AQ246="7",BH246,0)</f>
        <v>0</v>
      </c>
      <c r="AE246" s="28">
        <f>IF(AQ246="7",BI246,0)</f>
        <v>0</v>
      </c>
      <c r="AF246" s="28">
        <f>IF(AQ246="2",BH246,0)</f>
        <v>0</v>
      </c>
      <c r="AG246" s="28">
        <f>IF(AQ246="2",BI246,0)</f>
        <v>0</v>
      </c>
      <c r="AH246" s="28">
        <f>IF(AQ246="0",BJ246,0)</f>
        <v>0</v>
      </c>
      <c r="AI246" s="27"/>
      <c r="AJ246" s="17">
        <f>IF(AN246=0,L246,0)</f>
        <v>0</v>
      </c>
      <c r="AK246" s="17">
        <f>IF(AN246=15,L246,0)</f>
        <v>0</v>
      </c>
      <c r="AL246" s="17">
        <f>IF(AN246=21,L246,0)</f>
        <v>0</v>
      </c>
      <c r="AN246" s="28">
        <v>21</v>
      </c>
      <c r="AO246" s="28">
        <f>I246*0</f>
        <v>0</v>
      </c>
      <c r="AP246" s="28">
        <f>I246*(1-0)</f>
        <v>0</v>
      </c>
      <c r="AQ246" s="29" t="s">
        <v>8</v>
      </c>
      <c r="AV246" s="28">
        <f>AW246+AX246</f>
        <v>0</v>
      </c>
      <c r="AW246" s="28">
        <f>H246*AO246</f>
        <v>0</v>
      </c>
      <c r="AX246" s="28">
        <f>H246*AP246</f>
        <v>0</v>
      </c>
      <c r="AY246" s="31" t="s">
        <v>653</v>
      </c>
      <c r="AZ246" s="31" t="s">
        <v>666</v>
      </c>
      <c r="BA246" s="27" t="s">
        <v>669</v>
      </c>
      <c r="BC246" s="28">
        <f>AW246+AX246</f>
        <v>0</v>
      </c>
      <c r="BD246" s="28">
        <f>I246/(100-BE246)*100</f>
        <v>0</v>
      </c>
      <c r="BE246" s="28">
        <v>0</v>
      </c>
      <c r="BF246" s="28">
        <f>246</f>
        <v>246</v>
      </c>
      <c r="BH246" s="17">
        <f>H246*AO246</f>
        <v>0</v>
      </c>
      <c r="BI246" s="17">
        <f>H246*AP246</f>
        <v>0</v>
      </c>
      <c r="BJ246" s="17">
        <f>H246*I246</f>
        <v>0</v>
      </c>
      <c r="BK246" s="17" t="s">
        <v>674</v>
      </c>
      <c r="BL246" s="28" t="s">
        <v>251</v>
      </c>
    </row>
    <row r="247" spans="1:64" ht="12.75">
      <c r="A247" s="75" t="s">
        <v>106</v>
      </c>
      <c r="B247" s="75" t="s">
        <v>254</v>
      </c>
      <c r="C247" s="123" t="s">
        <v>514</v>
      </c>
      <c r="D247" s="107"/>
      <c r="E247" s="107"/>
      <c r="F247" s="124"/>
      <c r="G247" s="75" t="s">
        <v>598</v>
      </c>
      <c r="H247" s="76">
        <v>70</v>
      </c>
      <c r="I247" s="95">
        <v>0</v>
      </c>
      <c r="J247" s="76">
        <f>H247*AO247</f>
        <v>0</v>
      </c>
      <c r="K247" s="76">
        <f>H247*AP247</f>
        <v>0</v>
      </c>
      <c r="L247" s="76">
        <f>H247*I247</f>
        <v>0</v>
      </c>
      <c r="M247" s="77" t="s">
        <v>618</v>
      </c>
      <c r="N247" s="63"/>
      <c r="Z247" s="28">
        <f>IF(AQ247="5",BJ247,0)</f>
        <v>0</v>
      </c>
      <c r="AB247" s="28">
        <f>IF(AQ247="1",BH247,0)</f>
        <v>0</v>
      </c>
      <c r="AC247" s="28">
        <f>IF(AQ247="1",BI247,0)</f>
        <v>0</v>
      </c>
      <c r="AD247" s="28">
        <f>IF(AQ247="7",BH247,0)</f>
        <v>0</v>
      </c>
      <c r="AE247" s="28">
        <f>IF(AQ247="7",BI247,0)</f>
        <v>0</v>
      </c>
      <c r="AF247" s="28">
        <f>IF(AQ247="2",BH247,0)</f>
        <v>0</v>
      </c>
      <c r="AG247" s="28">
        <f>IF(AQ247="2",BI247,0)</f>
        <v>0</v>
      </c>
      <c r="AH247" s="28">
        <f>IF(AQ247="0",BJ247,0)</f>
        <v>0</v>
      </c>
      <c r="AI247" s="27"/>
      <c r="AJ247" s="17">
        <f>IF(AN247=0,L247,0)</f>
        <v>0</v>
      </c>
      <c r="AK247" s="17">
        <f>IF(AN247=15,L247,0)</f>
        <v>0</v>
      </c>
      <c r="AL247" s="17">
        <f>IF(AN247=21,L247,0)</f>
        <v>0</v>
      </c>
      <c r="AN247" s="28">
        <v>21</v>
      </c>
      <c r="AO247" s="28">
        <f>I247*0</f>
        <v>0</v>
      </c>
      <c r="AP247" s="28">
        <f>I247*(1-0)</f>
        <v>0</v>
      </c>
      <c r="AQ247" s="29" t="s">
        <v>8</v>
      </c>
      <c r="AV247" s="28">
        <f>AW247+AX247</f>
        <v>0</v>
      </c>
      <c r="AW247" s="28">
        <f>H247*AO247</f>
        <v>0</v>
      </c>
      <c r="AX247" s="28">
        <f>H247*AP247</f>
        <v>0</v>
      </c>
      <c r="AY247" s="31" t="s">
        <v>653</v>
      </c>
      <c r="AZ247" s="31" t="s">
        <v>666</v>
      </c>
      <c r="BA247" s="27" t="s">
        <v>669</v>
      </c>
      <c r="BC247" s="28">
        <f>AW247+AX247</f>
        <v>0</v>
      </c>
      <c r="BD247" s="28">
        <f>I247/(100-BE247)*100</f>
        <v>0</v>
      </c>
      <c r="BE247" s="28">
        <v>0</v>
      </c>
      <c r="BF247" s="28">
        <f>247</f>
        <v>247</v>
      </c>
      <c r="BH247" s="17">
        <f>H247*AO247</f>
        <v>0</v>
      </c>
      <c r="BI247" s="17">
        <f>H247*AP247</f>
        <v>0</v>
      </c>
      <c r="BJ247" s="17">
        <f>H247*I247</f>
        <v>0</v>
      </c>
      <c r="BK247" s="17" t="s">
        <v>674</v>
      </c>
      <c r="BL247" s="28" t="s">
        <v>251</v>
      </c>
    </row>
    <row r="248" spans="1:64" ht="12.75">
      <c r="A248" s="78" t="s">
        <v>107</v>
      </c>
      <c r="B248" s="78" t="s">
        <v>255</v>
      </c>
      <c r="C248" s="125" t="s">
        <v>515</v>
      </c>
      <c r="D248" s="107"/>
      <c r="E248" s="107"/>
      <c r="F248" s="126"/>
      <c r="G248" s="78" t="s">
        <v>598</v>
      </c>
      <c r="H248" s="79">
        <v>50</v>
      </c>
      <c r="I248" s="89">
        <v>0</v>
      </c>
      <c r="J248" s="79">
        <f>H248*AO248</f>
        <v>0</v>
      </c>
      <c r="K248" s="79">
        <f>H248*AP248</f>
        <v>0</v>
      </c>
      <c r="L248" s="79">
        <f>H248*I248</f>
        <v>0</v>
      </c>
      <c r="M248" s="80" t="s">
        <v>618</v>
      </c>
      <c r="N248" s="63"/>
      <c r="Z248" s="28">
        <f>IF(AQ248="5",BJ248,0)</f>
        <v>0</v>
      </c>
      <c r="AB248" s="28">
        <f>IF(AQ248="1",BH248,0)</f>
        <v>0</v>
      </c>
      <c r="AC248" s="28">
        <f>IF(AQ248="1",BI248,0)</f>
        <v>0</v>
      </c>
      <c r="AD248" s="28">
        <f>IF(AQ248="7",BH248,0)</f>
        <v>0</v>
      </c>
      <c r="AE248" s="28">
        <f>IF(AQ248="7",BI248,0)</f>
        <v>0</v>
      </c>
      <c r="AF248" s="28">
        <f>IF(AQ248="2",BH248,0)</f>
        <v>0</v>
      </c>
      <c r="AG248" s="28">
        <f>IF(AQ248="2",BI248,0)</f>
        <v>0</v>
      </c>
      <c r="AH248" s="28">
        <f>IF(AQ248="0",BJ248,0)</f>
        <v>0</v>
      </c>
      <c r="AI248" s="27"/>
      <c r="AJ248" s="17">
        <f>IF(AN248=0,L248,0)</f>
        <v>0</v>
      </c>
      <c r="AK248" s="17">
        <f>IF(AN248=15,L248,0)</f>
        <v>0</v>
      </c>
      <c r="AL248" s="17">
        <f>IF(AN248=21,L248,0)</f>
        <v>0</v>
      </c>
      <c r="AN248" s="28">
        <v>21</v>
      </c>
      <c r="AO248" s="28">
        <f>I248*0</f>
        <v>0</v>
      </c>
      <c r="AP248" s="28">
        <f>I248*(1-0)</f>
        <v>0</v>
      </c>
      <c r="AQ248" s="29" t="s">
        <v>8</v>
      </c>
      <c r="AV248" s="28">
        <f>AW248+AX248</f>
        <v>0</v>
      </c>
      <c r="AW248" s="28">
        <f>H248*AO248</f>
        <v>0</v>
      </c>
      <c r="AX248" s="28">
        <f>H248*AP248</f>
        <v>0</v>
      </c>
      <c r="AY248" s="31" t="s">
        <v>653</v>
      </c>
      <c r="AZ248" s="31" t="s">
        <v>666</v>
      </c>
      <c r="BA248" s="27" t="s">
        <v>669</v>
      </c>
      <c r="BC248" s="28">
        <f>AW248+AX248</f>
        <v>0</v>
      </c>
      <c r="BD248" s="28">
        <f>I248/(100-BE248)*100</f>
        <v>0</v>
      </c>
      <c r="BE248" s="28">
        <v>0</v>
      </c>
      <c r="BF248" s="28">
        <f>248</f>
        <v>248</v>
      </c>
      <c r="BH248" s="17">
        <f>H248*AO248</f>
        <v>0</v>
      </c>
      <c r="BI248" s="17">
        <f>H248*AP248</f>
        <v>0</v>
      </c>
      <c r="BJ248" s="17">
        <f>H248*I248</f>
        <v>0</v>
      </c>
      <c r="BK248" s="17" t="s">
        <v>674</v>
      </c>
      <c r="BL248" s="28" t="s">
        <v>251</v>
      </c>
    </row>
    <row r="249" spans="1:47" ht="12.75">
      <c r="A249" s="69"/>
      <c r="B249" s="70" t="s">
        <v>256</v>
      </c>
      <c r="C249" s="108" t="s">
        <v>516</v>
      </c>
      <c r="D249" s="109"/>
      <c r="E249" s="109"/>
      <c r="F249" s="109"/>
      <c r="G249" s="71" t="s">
        <v>6</v>
      </c>
      <c r="H249" s="71" t="s">
        <v>6</v>
      </c>
      <c r="I249" s="94" t="s">
        <v>6</v>
      </c>
      <c r="J249" s="72">
        <f>SUM(J250:J259)</f>
        <v>0</v>
      </c>
      <c r="K249" s="72">
        <f>SUM(K250:K259)</f>
        <v>0</v>
      </c>
      <c r="L249" s="72">
        <f>SUM(L250:L259)</f>
        <v>0</v>
      </c>
      <c r="M249" s="73"/>
      <c r="N249" s="4"/>
      <c r="AI249" s="27"/>
      <c r="AS249" s="33">
        <f>SUM(AJ250:AJ259)</f>
        <v>0</v>
      </c>
      <c r="AT249" s="33">
        <f>SUM(AK250:AK259)</f>
        <v>0</v>
      </c>
      <c r="AU249" s="33">
        <f>SUM(AL250:AL259)</f>
        <v>0</v>
      </c>
    </row>
    <row r="250" spans="1:64" ht="12.75">
      <c r="A250" s="3" t="s">
        <v>108</v>
      </c>
      <c r="B250" s="11" t="s">
        <v>257</v>
      </c>
      <c r="C250" s="106" t="s">
        <v>517</v>
      </c>
      <c r="D250" s="107"/>
      <c r="E250" s="107"/>
      <c r="F250" s="107"/>
      <c r="G250" s="11" t="s">
        <v>595</v>
      </c>
      <c r="H250" s="17">
        <v>20.5714</v>
      </c>
      <c r="I250" s="93">
        <v>0</v>
      </c>
      <c r="J250" s="17">
        <f>H250*AO250</f>
        <v>0</v>
      </c>
      <c r="K250" s="17">
        <f>H250*AP250</f>
        <v>0</v>
      </c>
      <c r="L250" s="17">
        <f>H250*I250</f>
        <v>0</v>
      </c>
      <c r="M250" s="24" t="s">
        <v>618</v>
      </c>
      <c r="N250" s="4"/>
      <c r="Z250" s="28">
        <f>IF(AQ250="5",BJ250,0)</f>
        <v>0</v>
      </c>
      <c r="AB250" s="28">
        <f>IF(AQ250="1",BH250,0)</f>
        <v>0</v>
      </c>
      <c r="AC250" s="28">
        <f>IF(AQ250="1",BI250,0)</f>
        <v>0</v>
      </c>
      <c r="AD250" s="28">
        <f>IF(AQ250="7",BH250,0)</f>
        <v>0</v>
      </c>
      <c r="AE250" s="28">
        <f>IF(AQ250="7",BI250,0)</f>
        <v>0</v>
      </c>
      <c r="AF250" s="28">
        <f>IF(AQ250="2",BH250,0)</f>
        <v>0</v>
      </c>
      <c r="AG250" s="28">
        <f>IF(AQ250="2",BI250,0)</f>
        <v>0</v>
      </c>
      <c r="AH250" s="28">
        <f>IF(AQ250="0",BJ250,0)</f>
        <v>0</v>
      </c>
      <c r="AI250" s="27"/>
      <c r="AJ250" s="17">
        <f>IF(AN250=0,L250,0)</f>
        <v>0</v>
      </c>
      <c r="AK250" s="17">
        <f>IF(AN250=15,L250,0)</f>
        <v>0</v>
      </c>
      <c r="AL250" s="17">
        <f>IF(AN250=21,L250,0)</f>
        <v>0</v>
      </c>
      <c r="AN250" s="28">
        <v>21</v>
      </c>
      <c r="AO250" s="28">
        <f>I250*0</f>
        <v>0</v>
      </c>
      <c r="AP250" s="28">
        <f>I250*(1-0)</f>
        <v>0</v>
      </c>
      <c r="AQ250" s="29" t="s">
        <v>11</v>
      </c>
      <c r="AV250" s="28">
        <f>AW250+AX250</f>
        <v>0</v>
      </c>
      <c r="AW250" s="28">
        <f>H250*AO250</f>
        <v>0</v>
      </c>
      <c r="AX250" s="28">
        <f>H250*AP250</f>
        <v>0</v>
      </c>
      <c r="AY250" s="31" t="s">
        <v>654</v>
      </c>
      <c r="AZ250" s="31" t="s">
        <v>666</v>
      </c>
      <c r="BA250" s="27" t="s">
        <v>669</v>
      </c>
      <c r="BC250" s="28">
        <f>AW250+AX250</f>
        <v>0</v>
      </c>
      <c r="BD250" s="28">
        <f>I250/(100-BE250)*100</f>
        <v>0</v>
      </c>
      <c r="BE250" s="28">
        <v>0</v>
      </c>
      <c r="BF250" s="28">
        <f>250</f>
        <v>250</v>
      </c>
      <c r="BH250" s="17">
        <f>H250*AO250</f>
        <v>0</v>
      </c>
      <c r="BI250" s="17">
        <f>H250*AP250</f>
        <v>0</v>
      </c>
      <c r="BJ250" s="17">
        <f>H250*I250</f>
        <v>0</v>
      </c>
      <c r="BK250" s="17" t="s">
        <v>674</v>
      </c>
      <c r="BL250" s="28" t="s">
        <v>256</v>
      </c>
    </row>
    <row r="251" spans="1:14" ht="12.75">
      <c r="A251" s="4"/>
      <c r="B251" s="13" t="s">
        <v>144</v>
      </c>
      <c r="C251" s="115" t="s">
        <v>518</v>
      </c>
      <c r="D251" s="116"/>
      <c r="E251" s="116"/>
      <c r="F251" s="116"/>
      <c r="G251" s="116"/>
      <c r="H251" s="116"/>
      <c r="I251" s="116"/>
      <c r="J251" s="116"/>
      <c r="K251" s="116"/>
      <c r="L251" s="116"/>
      <c r="M251" s="117"/>
      <c r="N251" s="4"/>
    </row>
    <row r="252" spans="1:64" ht="12.75">
      <c r="A252" s="3" t="s">
        <v>109</v>
      </c>
      <c r="B252" s="11" t="s">
        <v>258</v>
      </c>
      <c r="C252" s="106" t="s">
        <v>519</v>
      </c>
      <c r="D252" s="107"/>
      <c r="E252" s="107"/>
      <c r="F252" s="107"/>
      <c r="G252" s="11" t="s">
        <v>595</v>
      </c>
      <c r="H252" s="17">
        <v>20.5714</v>
      </c>
      <c r="I252" s="93">
        <v>0</v>
      </c>
      <c r="J252" s="17">
        <f>H252*AO252</f>
        <v>0</v>
      </c>
      <c r="K252" s="17">
        <f>H252*AP252</f>
        <v>0</v>
      </c>
      <c r="L252" s="17">
        <f>H252*I252</f>
        <v>0</v>
      </c>
      <c r="M252" s="24" t="s">
        <v>618</v>
      </c>
      <c r="N252" s="4"/>
      <c r="Z252" s="28">
        <f>IF(AQ252="5",BJ252,0)</f>
        <v>0</v>
      </c>
      <c r="AB252" s="28">
        <f>IF(AQ252="1",BH252,0)</f>
        <v>0</v>
      </c>
      <c r="AC252" s="28">
        <f>IF(AQ252="1",BI252,0)</f>
        <v>0</v>
      </c>
      <c r="AD252" s="28">
        <f>IF(AQ252="7",BH252,0)</f>
        <v>0</v>
      </c>
      <c r="AE252" s="28">
        <f>IF(AQ252="7",BI252,0)</f>
        <v>0</v>
      </c>
      <c r="AF252" s="28">
        <f>IF(AQ252="2",BH252,0)</f>
        <v>0</v>
      </c>
      <c r="AG252" s="28">
        <f>IF(AQ252="2",BI252,0)</f>
        <v>0</v>
      </c>
      <c r="AH252" s="28">
        <f>IF(AQ252="0",BJ252,0)</f>
        <v>0</v>
      </c>
      <c r="AI252" s="27"/>
      <c r="AJ252" s="17">
        <f>IF(AN252=0,L252,0)</f>
        <v>0</v>
      </c>
      <c r="AK252" s="17">
        <f>IF(AN252=15,L252,0)</f>
        <v>0</v>
      </c>
      <c r="AL252" s="17">
        <f>IF(AN252=21,L252,0)</f>
        <v>0</v>
      </c>
      <c r="AN252" s="28">
        <v>21</v>
      </c>
      <c r="AO252" s="28">
        <f>I252*0</f>
        <v>0</v>
      </c>
      <c r="AP252" s="28">
        <f>I252*(1-0)</f>
        <v>0</v>
      </c>
      <c r="AQ252" s="29" t="s">
        <v>11</v>
      </c>
      <c r="AV252" s="28">
        <f>AW252+AX252</f>
        <v>0</v>
      </c>
      <c r="AW252" s="28">
        <f>H252*AO252</f>
        <v>0</v>
      </c>
      <c r="AX252" s="28">
        <f>H252*AP252</f>
        <v>0</v>
      </c>
      <c r="AY252" s="31" t="s">
        <v>654</v>
      </c>
      <c r="AZ252" s="31" t="s">
        <v>666</v>
      </c>
      <c r="BA252" s="27" t="s">
        <v>669</v>
      </c>
      <c r="BC252" s="28">
        <f>AW252+AX252</f>
        <v>0</v>
      </c>
      <c r="BD252" s="28">
        <f>I252/(100-BE252)*100</f>
        <v>0</v>
      </c>
      <c r="BE252" s="28">
        <v>0</v>
      </c>
      <c r="BF252" s="28">
        <f>252</f>
        <v>252</v>
      </c>
      <c r="BH252" s="17">
        <f>H252*AO252</f>
        <v>0</v>
      </c>
      <c r="BI252" s="17">
        <f>H252*AP252</f>
        <v>0</v>
      </c>
      <c r="BJ252" s="17">
        <f>H252*I252</f>
        <v>0</v>
      </c>
      <c r="BK252" s="17" t="s">
        <v>674</v>
      </c>
      <c r="BL252" s="28" t="s">
        <v>256</v>
      </c>
    </row>
    <row r="253" spans="1:14" ht="12.75">
      <c r="A253" s="4"/>
      <c r="B253" s="13" t="s">
        <v>143</v>
      </c>
      <c r="C253" s="120" t="s">
        <v>520</v>
      </c>
      <c r="D253" s="121"/>
      <c r="E253" s="121"/>
      <c r="F253" s="121"/>
      <c r="G253" s="121"/>
      <c r="H253" s="121"/>
      <c r="I253" s="121"/>
      <c r="J253" s="121"/>
      <c r="K253" s="121"/>
      <c r="L253" s="121"/>
      <c r="M253" s="122"/>
      <c r="N253" s="4"/>
    </row>
    <row r="254" spans="1:64" ht="12.75">
      <c r="A254" s="3" t="s">
        <v>110</v>
      </c>
      <c r="B254" s="11" t="s">
        <v>259</v>
      </c>
      <c r="C254" s="106" t="s">
        <v>521</v>
      </c>
      <c r="D254" s="107"/>
      <c r="E254" s="107"/>
      <c r="F254" s="107"/>
      <c r="G254" s="11" t="s">
        <v>595</v>
      </c>
      <c r="H254" s="17">
        <v>246.8568</v>
      </c>
      <c r="I254" s="93">
        <v>0</v>
      </c>
      <c r="J254" s="17">
        <f>H254*AO254</f>
        <v>0</v>
      </c>
      <c r="K254" s="17">
        <f>H254*AP254</f>
        <v>0</v>
      </c>
      <c r="L254" s="17">
        <f>H254*I254</f>
        <v>0</v>
      </c>
      <c r="M254" s="24" t="s">
        <v>618</v>
      </c>
      <c r="N254" s="4"/>
      <c r="Z254" s="28">
        <f>IF(AQ254="5",BJ254,0)</f>
        <v>0</v>
      </c>
      <c r="AB254" s="28">
        <f>IF(AQ254="1",BH254,0)</f>
        <v>0</v>
      </c>
      <c r="AC254" s="28">
        <f>IF(AQ254="1",BI254,0)</f>
        <v>0</v>
      </c>
      <c r="AD254" s="28">
        <f>IF(AQ254="7",BH254,0)</f>
        <v>0</v>
      </c>
      <c r="AE254" s="28">
        <f>IF(AQ254="7",BI254,0)</f>
        <v>0</v>
      </c>
      <c r="AF254" s="28">
        <f>IF(AQ254="2",BH254,0)</f>
        <v>0</v>
      </c>
      <c r="AG254" s="28">
        <f>IF(AQ254="2",BI254,0)</f>
        <v>0</v>
      </c>
      <c r="AH254" s="28">
        <f>IF(AQ254="0",BJ254,0)</f>
        <v>0</v>
      </c>
      <c r="AI254" s="27"/>
      <c r="AJ254" s="17">
        <f>IF(AN254=0,L254,0)</f>
        <v>0</v>
      </c>
      <c r="AK254" s="17">
        <f>IF(AN254=15,L254,0)</f>
        <v>0</v>
      </c>
      <c r="AL254" s="17">
        <f>IF(AN254=21,L254,0)</f>
        <v>0</v>
      </c>
      <c r="AN254" s="28">
        <v>21</v>
      </c>
      <c r="AO254" s="28">
        <f>I254*0</f>
        <v>0</v>
      </c>
      <c r="AP254" s="28">
        <f>I254*(1-0)</f>
        <v>0</v>
      </c>
      <c r="AQ254" s="29" t="s">
        <v>11</v>
      </c>
      <c r="AV254" s="28">
        <f>AW254+AX254</f>
        <v>0</v>
      </c>
      <c r="AW254" s="28">
        <f>H254*AO254</f>
        <v>0</v>
      </c>
      <c r="AX254" s="28">
        <f>H254*AP254</f>
        <v>0</v>
      </c>
      <c r="AY254" s="31" t="s">
        <v>654</v>
      </c>
      <c r="AZ254" s="31" t="s">
        <v>666</v>
      </c>
      <c r="BA254" s="27" t="s">
        <v>669</v>
      </c>
      <c r="BC254" s="28">
        <f>AW254+AX254</f>
        <v>0</v>
      </c>
      <c r="BD254" s="28">
        <f>I254/(100-BE254)*100</f>
        <v>0</v>
      </c>
      <c r="BE254" s="28">
        <v>0</v>
      </c>
      <c r="BF254" s="28">
        <f>254</f>
        <v>254</v>
      </c>
      <c r="BH254" s="17">
        <f>H254*AO254</f>
        <v>0</v>
      </c>
      <c r="BI254" s="17">
        <f>H254*AP254</f>
        <v>0</v>
      </c>
      <c r="BJ254" s="17">
        <f>H254*I254</f>
        <v>0</v>
      </c>
      <c r="BK254" s="17" t="s">
        <v>674</v>
      </c>
      <c r="BL254" s="28" t="s">
        <v>256</v>
      </c>
    </row>
    <row r="255" spans="1:14" ht="12.75">
      <c r="A255" s="4"/>
      <c r="B255" s="13" t="s">
        <v>143</v>
      </c>
      <c r="C255" s="120" t="s">
        <v>520</v>
      </c>
      <c r="D255" s="121"/>
      <c r="E255" s="121"/>
      <c r="F255" s="121"/>
      <c r="G255" s="121"/>
      <c r="H255" s="121"/>
      <c r="I255" s="121"/>
      <c r="J255" s="121"/>
      <c r="K255" s="121"/>
      <c r="L255" s="121"/>
      <c r="M255" s="122"/>
      <c r="N255" s="4"/>
    </row>
    <row r="256" spans="1:14" s="86" customFormat="1" ht="12">
      <c r="A256" s="84"/>
      <c r="B256" s="85" t="s">
        <v>139</v>
      </c>
      <c r="C256" s="103" t="s">
        <v>522</v>
      </c>
      <c r="D256" s="104"/>
      <c r="E256" s="104"/>
      <c r="F256" s="104"/>
      <c r="G256" s="104"/>
      <c r="H256" s="104"/>
      <c r="I256" s="104"/>
      <c r="J256" s="104"/>
      <c r="K256" s="104"/>
      <c r="L256" s="104"/>
      <c r="M256" s="105"/>
      <c r="N256" s="84"/>
    </row>
    <row r="257" spans="1:64" ht="12.75">
      <c r="A257" s="3" t="s">
        <v>111</v>
      </c>
      <c r="B257" s="11" t="s">
        <v>260</v>
      </c>
      <c r="C257" s="106" t="s">
        <v>523</v>
      </c>
      <c r="D257" s="107"/>
      <c r="E257" s="107"/>
      <c r="F257" s="107"/>
      <c r="G257" s="11" t="s">
        <v>595</v>
      </c>
      <c r="H257" s="17">
        <v>20.5714</v>
      </c>
      <c r="I257" s="93">
        <v>0</v>
      </c>
      <c r="J257" s="17">
        <f>H257*AO257</f>
        <v>0</v>
      </c>
      <c r="K257" s="17">
        <f>H257*AP257</f>
        <v>0</v>
      </c>
      <c r="L257" s="17">
        <f>H257*I257</f>
        <v>0</v>
      </c>
      <c r="M257" s="24" t="s">
        <v>618</v>
      </c>
      <c r="N257" s="4"/>
      <c r="Z257" s="28">
        <f>IF(AQ257="5",BJ257,0)</f>
        <v>0</v>
      </c>
      <c r="AB257" s="28">
        <f>IF(AQ257="1",BH257,0)</f>
        <v>0</v>
      </c>
      <c r="AC257" s="28">
        <f>IF(AQ257="1",BI257,0)</f>
        <v>0</v>
      </c>
      <c r="AD257" s="28">
        <f>IF(AQ257="7",BH257,0)</f>
        <v>0</v>
      </c>
      <c r="AE257" s="28">
        <f>IF(AQ257="7",BI257,0)</f>
        <v>0</v>
      </c>
      <c r="AF257" s="28">
        <f>IF(AQ257="2",BH257,0)</f>
        <v>0</v>
      </c>
      <c r="AG257" s="28">
        <f>IF(AQ257="2",BI257,0)</f>
        <v>0</v>
      </c>
      <c r="AH257" s="28">
        <f>IF(AQ257="0",BJ257,0)</f>
        <v>0</v>
      </c>
      <c r="AI257" s="27"/>
      <c r="AJ257" s="17">
        <f>IF(AN257=0,L257,0)</f>
        <v>0</v>
      </c>
      <c r="AK257" s="17">
        <f>IF(AN257=15,L257,0)</f>
        <v>0</v>
      </c>
      <c r="AL257" s="17">
        <f>IF(AN257=21,L257,0)</f>
        <v>0</v>
      </c>
      <c r="AN257" s="28">
        <v>21</v>
      </c>
      <c r="AO257" s="28">
        <f>I257*0</f>
        <v>0</v>
      </c>
      <c r="AP257" s="28">
        <f>I257*(1-0)</f>
        <v>0</v>
      </c>
      <c r="AQ257" s="29" t="s">
        <v>11</v>
      </c>
      <c r="AV257" s="28">
        <f>AW257+AX257</f>
        <v>0</v>
      </c>
      <c r="AW257" s="28">
        <f>H257*AO257</f>
        <v>0</v>
      </c>
      <c r="AX257" s="28">
        <f>H257*AP257</f>
        <v>0</v>
      </c>
      <c r="AY257" s="31" t="s">
        <v>654</v>
      </c>
      <c r="AZ257" s="31" t="s">
        <v>666</v>
      </c>
      <c r="BA257" s="27" t="s">
        <v>669</v>
      </c>
      <c r="BC257" s="28">
        <f>AW257+AX257</f>
        <v>0</v>
      </c>
      <c r="BD257" s="28">
        <f>I257/(100-BE257)*100</f>
        <v>0</v>
      </c>
      <c r="BE257" s="28">
        <v>0</v>
      </c>
      <c r="BF257" s="28">
        <f>257</f>
        <v>257</v>
      </c>
      <c r="BH257" s="17">
        <f>H257*AO257</f>
        <v>0</v>
      </c>
      <c r="BI257" s="17">
        <f>H257*AP257</f>
        <v>0</v>
      </c>
      <c r="BJ257" s="17">
        <f>H257*I257</f>
        <v>0</v>
      </c>
      <c r="BK257" s="17" t="s">
        <v>674</v>
      </c>
      <c r="BL257" s="28" t="s">
        <v>256</v>
      </c>
    </row>
    <row r="258" spans="1:14" ht="12.75">
      <c r="A258" s="4"/>
      <c r="B258" s="13" t="s">
        <v>144</v>
      </c>
      <c r="C258" s="115" t="s">
        <v>524</v>
      </c>
      <c r="D258" s="116"/>
      <c r="E258" s="116"/>
      <c r="F258" s="116"/>
      <c r="G258" s="116"/>
      <c r="H258" s="116"/>
      <c r="I258" s="116"/>
      <c r="J258" s="116"/>
      <c r="K258" s="116"/>
      <c r="L258" s="116"/>
      <c r="M258" s="117"/>
      <c r="N258" s="4"/>
    </row>
    <row r="259" spans="1:64" ht="12.75">
      <c r="A259" s="3" t="s">
        <v>112</v>
      </c>
      <c r="B259" s="11" t="s">
        <v>261</v>
      </c>
      <c r="C259" s="106" t="s">
        <v>525</v>
      </c>
      <c r="D259" s="107"/>
      <c r="E259" s="107"/>
      <c r="F259" s="107"/>
      <c r="G259" s="11" t="s">
        <v>595</v>
      </c>
      <c r="H259" s="17">
        <v>20.5714</v>
      </c>
      <c r="I259" s="93">
        <v>0</v>
      </c>
      <c r="J259" s="17">
        <f>H259*AO259</f>
        <v>0</v>
      </c>
      <c r="K259" s="17">
        <f>H259*AP259</f>
        <v>0</v>
      </c>
      <c r="L259" s="17">
        <f>H259*I259</f>
        <v>0</v>
      </c>
      <c r="M259" s="24" t="s">
        <v>618</v>
      </c>
      <c r="N259" s="4"/>
      <c r="Z259" s="28">
        <f>IF(AQ259="5",BJ259,0)</f>
        <v>0</v>
      </c>
      <c r="AB259" s="28">
        <f>IF(AQ259="1",BH259,0)</f>
        <v>0</v>
      </c>
      <c r="AC259" s="28">
        <f>IF(AQ259="1",BI259,0)</f>
        <v>0</v>
      </c>
      <c r="AD259" s="28">
        <f>IF(AQ259="7",BH259,0)</f>
        <v>0</v>
      </c>
      <c r="AE259" s="28">
        <f>IF(AQ259="7",BI259,0)</f>
        <v>0</v>
      </c>
      <c r="AF259" s="28">
        <f>IF(AQ259="2",BH259,0)</f>
        <v>0</v>
      </c>
      <c r="AG259" s="28">
        <f>IF(AQ259="2",BI259,0)</f>
        <v>0</v>
      </c>
      <c r="AH259" s="28">
        <f>IF(AQ259="0",BJ259,0)</f>
        <v>0</v>
      </c>
      <c r="AI259" s="27"/>
      <c r="AJ259" s="17">
        <f>IF(AN259=0,L259,0)</f>
        <v>0</v>
      </c>
      <c r="AK259" s="17">
        <f>IF(AN259=15,L259,0)</f>
        <v>0</v>
      </c>
      <c r="AL259" s="17">
        <f>IF(AN259=21,L259,0)</f>
        <v>0</v>
      </c>
      <c r="AN259" s="28">
        <v>21</v>
      </c>
      <c r="AO259" s="28">
        <f>I259*0</f>
        <v>0</v>
      </c>
      <c r="AP259" s="28">
        <f>I259*(1-0)</f>
        <v>0</v>
      </c>
      <c r="AQ259" s="29" t="s">
        <v>11</v>
      </c>
      <c r="AV259" s="28">
        <f>AW259+AX259</f>
        <v>0</v>
      </c>
      <c r="AW259" s="28">
        <f>H259*AO259</f>
        <v>0</v>
      </c>
      <c r="AX259" s="28">
        <f>H259*AP259</f>
        <v>0</v>
      </c>
      <c r="AY259" s="31" t="s">
        <v>654</v>
      </c>
      <c r="AZ259" s="31" t="s">
        <v>666</v>
      </c>
      <c r="BA259" s="27" t="s">
        <v>669</v>
      </c>
      <c r="BC259" s="28">
        <f>AW259+AX259</f>
        <v>0</v>
      </c>
      <c r="BD259" s="28">
        <f>I259/(100-BE259)*100</f>
        <v>0</v>
      </c>
      <c r="BE259" s="28">
        <v>0</v>
      </c>
      <c r="BF259" s="28">
        <f>259</f>
        <v>259</v>
      </c>
      <c r="BH259" s="17">
        <f>H259*AO259</f>
        <v>0</v>
      </c>
      <c r="BI259" s="17">
        <f>H259*AP259</f>
        <v>0</v>
      </c>
      <c r="BJ259" s="17">
        <f>H259*I259</f>
        <v>0</v>
      </c>
      <c r="BK259" s="17" t="s">
        <v>674</v>
      </c>
      <c r="BL259" s="28" t="s">
        <v>256</v>
      </c>
    </row>
    <row r="260" spans="1:47" ht="12.75">
      <c r="A260" s="69"/>
      <c r="B260" s="70"/>
      <c r="C260" s="108" t="s">
        <v>526</v>
      </c>
      <c r="D260" s="109"/>
      <c r="E260" s="109"/>
      <c r="F260" s="109"/>
      <c r="G260" s="71" t="s">
        <v>6</v>
      </c>
      <c r="H260" s="71" t="s">
        <v>6</v>
      </c>
      <c r="I260" s="94" t="s">
        <v>6</v>
      </c>
      <c r="J260" s="72">
        <f>SUM(J261:J313)</f>
        <v>0</v>
      </c>
      <c r="K260" s="72">
        <f>SUM(K261:K313)</f>
        <v>0</v>
      </c>
      <c r="L260" s="72">
        <f>SUM(L261:L313)</f>
        <v>0</v>
      </c>
      <c r="M260" s="73"/>
      <c r="N260" s="4"/>
      <c r="AI260" s="27"/>
      <c r="AS260" s="33">
        <f>SUM(AJ261:AJ313)</f>
        <v>0</v>
      </c>
      <c r="AT260" s="33">
        <f>SUM(AK261:AK313)</f>
        <v>0</v>
      </c>
      <c r="AU260" s="33">
        <f>SUM(AL261:AL313)</f>
        <v>0</v>
      </c>
    </row>
    <row r="261" spans="1:64" ht="12.75">
      <c r="A261" s="5" t="s">
        <v>113</v>
      </c>
      <c r="B261" s="14" t="s">
        <v>262</v>
      </c>
      <c r="C261" s="113" t="s">
        <v>527</v>
      </c>
      <c r="D261" s="114"/>
      <c r="E261" s="114"/>
      <c r="F261" s="114"/>
      <c r="G261" s="14" t="s">
        <v>594</v>
      </c>
      <c r="H261" s="18">
        <v>100.34613</v>
      </c>
      <c r="I261" s="96">
        <v>0</v>
      </c>
      <c r="J261" s="18">
        <f>H261*AO261</f>
        <v>0</v>
      </c>
      <c r="K261" s="18">
        <f>H261*AP261</f>
        <v>0</v>
      </c>
      <c r="L261" s="18">
        <f>H261*I261</f>
        <v>0</v>
      </c>
      <c r="M261" s="25" t="s">
        <v>618</v>
      </c>
      <c r="N261" s="4"/>
      <c r="Z261" s="28">
        <f>IF(AQ261="5",BJ261,0)</f>
        <v>0</v>
      </c>
      <c r="AB261" s="28">
        <f>IF(AQ261="1",BH261,0)</f>
        <v>0</v>
      </c>
      <c r="AC261" s="28">
        <f>IF(AQ261="1",BI261,0)</f>
        <v>0</v>
      </c>
      <c r="AD261" s="28">
        <f>IF(AQ261="7",BH261,0)</f>
        <v>0</v>
      </c>
      <c r="AE261" s="28">
        <f>IF(AQ261="7",BI261,0)</f>
        <v>0</v>
      </c>
      <c r="AF261" s="28">
        <f>IF(AQ261="2",BH261,0)</f>
        <v>0</v>
      </c>
      <c r="AG261" s="28">
        <f>IF(AQ261="2",BI261,0)</f>
        <v>0</v>
      </c>
      <c r="AH261" s="28">
        <f>IF(AQ261="0",BJ261,0)</f>
        <v>0</v>
      </c>
      <c r="AI261" s="27"/>
      <c r="AJ261" s="18">
        <f>IF(AN261=0,L261,0)</f>
        <v>0</v>
      </c>
      <c r="AK261" s="18">
        <f>IF(AN261=15,L261,0)</f>
        <v>0</v>
      </c>
      <c r="AL261" s="18">
        <f>IF(AN261=21,L261,0)</f>
        <v>0</v>
      </c>
      <c r="AN261" s="28">
        <v>21</v>
      </c>
      <c r="AO261" s="28">
        <f>I261*1</f>
        <v>0</v>
      </c>
      <c r="AP261" s="28">
        <f>I261*(1-1)</f>
        <v>0</v>
      </c>
      <c r="AQ261" s="30" t="s">
        <v>628</v>
      </c>
      <c r="AV261" s="28">
        <f>AW261+AX261</f>
        <v>0</v>
      </c>
      <c r="AW261" s="28">
        <f>H261*AO261</f>
        <v>0</v>
      </c>
      <c r="AX261" s="28">
        <f>H261*AP261</f>
        <v>0</v>
      </c>
      <c r="AY261" s="31" t="s">
        <v>655</v>
      </c>
      <c r="AZ261" s="31" t="s">
        <v>667</v>
      </c>
      <c r="BA261" s="27" t="s">
        <v>669</v>
      </c>
      <c r="BC261" s="28">
        <f>AW261+AX261</f>
        <v>0</v>
      </c>
      <c r="BD261" s="28">
        <f>I261/(100-BE261)*100</f>
        <v>0</v>
      </c>
      <c r="BE261" s="28">
        <v>0</v>
      </c>
      <c r="BF261" s="28">
        <f>261</f>
        <v>261</v>
      </c>
      <c r="BH261" s="18">
        <f>H261*AO261</f>
        <v>0</v>
      </c>
      <c r="BI261" s="18">
        <f>H261*AP261</f>
        <v>0</v>
      </c>
      <c r="BJ261" s="18">
        <f>H261*I261</f>
        <v>0</v>
      </c>
      <c r="BK261" s="18" t="s">
        <v>675</v>
      </c>
      <c r="BL261" s="28"/>
    </row>
    <row r="262" spans="1:14" ht="12.75">
      <c r="A262" s="4"/>
      <c r="B262" s="13" t="s">
        <v>144</v>
      </c>
      <c r="C262" s="115" t="s">
        <v>528</v>
      </c>
      <c r="D262" s="116"/>
      <c r="E262" s="116"/>
      <c r="F262" s="116"/>
      <c r="G262" s="116"/>
      <c r="H262" s="116"/>
      <c r="I262" s="116"/>
      <c r="J262" s="116"/>
      <c r="K262" s="116"/>
      <c r="L262" s="116"/>
      <c r="M262" s="117"/>
      <c r="N262" s="4"/>
    </row>
    <row r="263" spans="1:14" s="86" customFormat="1" ht="12">
      <c r="A263" s="84"/>
      <c r="B263" s="85" t="s">
        <v>139</v>
      </c>
      <c r="C263" s="103" t="s">
        <v>529</v>
      </c>
      <c r="D263" s="104"/>
      <c r="E263" s="104"/>
      <c r="F263" s="104"/>
      <c r="G263" s="104"/>
      <c r="H263" s="104"/>
      <c r="I263" s="104"/>
      <c r="J263" s="104"/>
      <c r="K263" s="104"/>
      <c r="L263" s="104"/>
      <c r="M263" s="105"/>
      <c r="N263" s="84"/>
    </row>
    <row r="264" spans="1:64" ht="12.75">
      <c r="A264" s="5" t="s">
        <v>114</v>
      </c>
      <c r="B264" s="14" t="s">
        <v>263</v>
      </c>
      <c r="C264" s="113" t="s">
        <v>530</v>
      </c>
      <c r="D264" s="114"/>
      <c r="E264" s="114"/>
      <c r="F264" s="114"/>
      <c r="G264" s="14" t="s">
        <v>594</v>
      </c>
      <c r="H264" s="18">
        <v>31.60212</v>
      </c>
      <c r="I264" s="96">
        <v>0</v>
      </c>
      <c r="J264" s="18">
        <f>H264*AO264</f>
        <v>0</v>
      </c>
      <c r="K264" s="18">
        <f>H264*AP264</f>
        <v>0</v>
      </c>
      <c r="L264" s="18">
        <f>H264*I264</f>
        <v>0</v>
      </c>
      <c r="M264" s="25" t="s">
        <v>618</v>
      </c>
      <c r="N264" s="4"/>
      <c r="Z264" s="28">
        <f>IF(AQ264="5",BJ264,0)</f>
        <v>0</v>
      </c>
      <c r="AB264" s="28">
        <f>IF(AQ264="1",BH264,0)</f>
        <v>0</v>
      </c>
      <c r="AC264" s="28">
        <f>IF(AQ264="1",BI264,0)</f>
        <v>0</v>
      </c>
      <c r="AD264" s="28">
        <f>IF(AQ264="7",BH264,0)</f>
        <v>0</v>
      </c>
      <c r="AE264" s="28">
        <f>IF(AQ264="7",BI264,0)</f>
        <v>0</v>
      </c>
      <c r="AF264" s="28">
        <f>IF(AQ264="2",BH264,0)</f>
        <v>0</v>
      </c>
      <c r="AG264" s="28">
        <f>IF(AQ264="2",BI264,0)</f>
        <v>0</v>
      </c>
      <c r="AH264" s="28">
        <f>IF(AQ264="0",BJ264,0)</f>
        <v>0</v>
      </c>
      <c r="AI264" s="27"/>
      <c r="AJ264" s="18">
        <f>IF(AN264=0,L264,0)</f>
        <v>0</v>
      </c>
      <c r="AK264" s="18">
        <f>IF(AN264=15,L264,0)</f>
        <v>0</v>
      </c>
      <c r="AL264" s="18">
        <f>IF(AN264=21,L264,0)</f>
        <v>0</v>
      </c>
      <c r="AN264" s="28">
        <v>21</v>
      </c>
      <c r="AO264" s="28">
        <f>I264*1</f>
        <v>0</v>
      </c>
      <c r="AP264" s="28">
        <f>I264*(1-1)</f>
        <v>0</v>
      </c>
      <c r="AQ264" s="30" t="s">
        <v>628</v>
      </c>
      <c r="AV264" s="28">
        <f>AW264+AX264</f>
        <v>0</v>
      </c>
      <c r="AW264" s="28">
        <f>H264*AO264</f>
        <v>0</v>
      </c>
      <c r="AX264" s="28">
        <f>H264*AP264</f>
        <v>0</v>
      </c>
      <c r="AY264" s="31" t="s">
        <v>655</v>
      </c>
      <c r="AZ264" s="31" t="s">
        <v>667</v>
      </c>
      <c r="BA264" s="27" t="s">
        <v>669</v>
      </c>
      <c r="BC264" s="28">
        <f>AW264+AX264</f>
        <v>0</v>
      </c>
      <c r="BD264" s="28">
        <f>I264/(100-BE264)*100</f>
        <v>0</v>
      </c>
      <c r="BE264" s="28">
        <v>0</v>
      </c>
      <c r="BF264" s="28">
        <f>264</f>
        <v>264</v>
      </c>
      <c r="BH264" s="18">
        <f>H264*AO264</f>
        <v>0</v>
      </c>
      <c r="BI264" s="18">
        <f>H264*AP264</f>
        <v>0</v>
      </c>
      <c r="BJ264" s="18">
        <f>H264*I264</f>
        <v>0</v>
      </c>
      <c r="BK264" s="18" t="s">
        <v>675</v>
      </c>
      <c r="BL264" s="28"/>
    </row>
    <row r="265" spans="1:14" ht="25.5" customHeight="1">
      <c r="A265" s="4"/>
      <c r="B265" s="13" t="s">
        <v>144</v>
      </c>
      <c r="C265" s="115" t="s">
        <v>531</v>
      </c>
      <c r="D265" s="116"/>
      <c r="E265" s="116"/>
      <c r="F265" s="116"/>
      <c r="G265" s="116"/>
      <c r="H265" s="116"/>
      <c r="I265" s="116"/>
      <c r="J265" s="116"/>
      <c r="K265" s="116"/>
      <c r="L265" s="116"/>
      <c r="M265" s="117"/>
      <c r="N265" s="4"/>
    </row>
    <row r="266" spans="1:14" s="86" customFormat="1" ht="12">
      <c r="A266" s="84"/>
      <c r="B266" s="85" t="s">
        <v>139</v>
      </c>
      <c r="C266" s="103" t="s">
        <v>532</v>
      </c>
      <c r="D266" s="104"/>
      <c r="E266" s="104"/>
      <c r="F266" s="104"/>
      <c r="G266" s="104"/>
      <c r="H266" s="104"/>
      <c r="I266" s="104"/>
      <c r="J266" s="104"/>
      <c r="K266" s="104"/>
      <c r="L266" s="104"/>
      <c r="M266" s="105"/>
      <c r="N266" s="84"/>
    </row>
    <row r="267" spans="1:64" ht="12.75">
      <c r="A267" s="81" t="s">
        <v>115</v>
      </c>
      <c r="B267" s="81" t="s">
        <v>264</v>
      </c>
      <c r="C267" s="118" t="s">
        <v>533</v>
      </c>
      <c r="D267" s="114"/>
      <c r="E267" s="114"/>
      <c r="F267" s="119"/>
      <c r="G267" s="81" t="s">
        <v>597</v>
      </c>
      <c r="H267" s="82">
        <v>2</v>
      </c>
      <c r="I267" s="97">
        <v>0</v>
      </c>
      <c r="J267" s="82">
        <f>H267*AO267</f>
        <v>0</v>
      </c>
      <c r="K267" s="82">
        <f>H267*AP267</f>
        <v>0</v>
      </c>
      <c r="L267" s="82">
        <f>H267*I267</f>
        <v>0</v>
      </c>
      <c r="M267" s="83" t="s">
        <v>618</v>
      </c>
      <c r="N267" s="63"/>
      <c r="Z267" s="28">
        <f>IF(AQ267="5",BJ267,0)</f>
        <v>0</v>
      </c>
      <c r="AB267" s="28">
        <f>IF(AQ267="1",BH267,0)</f>
        <v>0</v>
      </c>
      <c r="AC267" s="28">
        <f>IF(AQ267="1",BI267,0)</f>
        <v>0</v>
      </c>
      <c r="AD267" s="28">
        <f>IF(AQ267="7",BH267,0)</f>
        <v>0</v>
      </c>
      <c r="AE267" s="28">
        <f>IF(AQ267="7",BI267,0)</f>
        <v>0</v>
      </c>
      <c r="AF267" s="28">
        <f>IF(AQ267="2",BH267,0)</f>
        <v>0</v>
      </c>
      <c r="AG267" s="28">
        <f>IF(AQ267="2",BI267,0)</f>
        <v>0</v>
      </c>
      <c r="AH267" s="28">
        <f>IF(AQ267="0",BJ267,0)</f>
        <v>0</v>
      </c>
      <c r="AI267" s="27"/>
      <c r="AJ267" s="18">
        <f>IF(AN267=0,L267,0)</f>
        <v>0</v>
      </c>
      <c r="AK267" s="18">
        <f>IF(AN267=15,L267,0)</f>
        <v>0</v>
      </c>
      <c r="AL267" s="18">
        <f>IF(AN267=21,L267,0)</f>
        <v>0</v>
      </c>
      <c r="AN267" s="28">
        <v>21</v>
      </c>
      <c r="AO267" s="28">
        <f>I267*1</f>
        <v>0</v>
      </c>
      <c r="AP267" s="28">
        <f>I267*(1-1)</f>
        <v>0</v>
      </c>
      <c r="AQ267" s="30" t="s">
        <v>628</v>
      </c>
      <c r="AV267" s="28">
        <f>AW267+AX267</f>
        <v>0</v>
      </c>
      <c r="AW267" s="28">
        <f>H267*AO267</f>
        <v>0</v>
      </c>
      <c r="AX267" s="28">
        <f>H267*AP267</f>
        <v>0</v>
      </c>
      <c r="AY267" s="31" t="s">
        <v>655</v>
      </c>
      <c r="AZ267" s="31" t="s">
        <v>667</v>
      </c>
      <c r="BA267" s="27" t="s">
        <v>669</v>
      </c>
      <c r="BC267" s="28">
        <f>AW267+AX267</f>
        <v>0</v>
      </c>
      <c r="BD267" s="28">
        <f>I267/(100-BE267)*100</f>
        <v>0</v>
      </c>
      <c r="BE267" s="28">
        <v>0</v>
      </c>
      <c r="BF267" s="28">
        <f>267</f>
        <v>267</v>
      </c>
      <c r="BH267" s="18">
        <f>H267*AO267</f>
        <v>0</v>
      </c>
      <c r="BI267" s="18">
        <f>H267*AP267</f>
        <v>0</v>
      </c>
      <c r="BJ267" s="18">
        <f>H267*I267</f>
        <v>0</v>
      </c>
      <c r="BK267" s="18" t="s">
        <v>675</v>
      </c>
      <c r="BL267" s="28"/>
    </row>
    <row r="268" spans="1:14" ht="12.75">
      <c r="A268" s="4"/>
      <c r="B268" s="13" t="s">
        <v>144</v>
      </c>
      <c r="C268" s="115" t="s">
        <v>534</v>
      </c>
      <c r="D268" s="116"/>
      <c r="E268" s="116"/>
      <c r="F268" s="116"/>
      <c r="G268" s="116"/>
      <c r="H268" s="116"/>
      <c r="I268" s="116"/>
      <c r="J268" s="116"/>
      <c r="K268" s="116"/>
      <c r="L268" s="116"/>
      <c r="M268" s="117"/>
      <c r="N268" s="4"/>
    </row>
    <row r="269" spans="1:64" ht="12.75">
      <c r="A269" s="81" t="s">
        <v>116</v>
      </c>
      <c r="B269" s="81" t="s">
        <v>265</v>
      </c>
      <c r="C269" s="118" t="s">
        <v>535</v>
      </c>
      <c r="D269" s="114"/>
      <c r="E269" s="114"/>
      <c r="F269" s="119"/>
      <c r="G269" s="81" t="s">
        <v>597</v>
      </c>
      <c r="H269" s="82">
        <v>2</v>
      </c>
      <c r="I269" s="97">
        <v>0</v>
      </c>
      <c r="J269" s="82">
        <f>H269*AO269</f>
        <v>0</v>
      </c>
      <c r="K269" s="82">
        <f>H269*AP269</f>
        <v>0</v>
      </c>
      <c r="L269" s="82">
        <f>H269*I269</f>
        <v>0</v>
      </c>
      <c r="M269" s="83" t="s">
        <v>618</v>
      </c>
      <c r="N269" s="63"/>
      <c r="Z269" s="28">
        <f>IF(AQ269="5",BJ269,0)</f>
        <v>0</v>
      </c>
      <c r="AB269" s="28">
        <f>IF(AQ269="1",BH269,0)</f>
        <v>0</v>
      </c>
      <c r="AC269" s="28">
        <f>IF(AQ269="1",BI269,0)</f>
        <v>0</v>
      </c>
      <c r="AD269" s="28">
        <f>IF(AQ269="7",BH269,0)</f>
        <v>0</v>
      </c>
      <c r="AE269" s="28">
        <f>IF(AQ269="7",BI269,0)</f>
        <v>0</v>
      </c>
      <c r="AF269" s="28">
        <f>IF(AQ269="2",BH269,0)</f>
        <v>0</v>
      </c>
      <c r="AG269" s="28">
        <f>IF(AQ269="2",BI269,0)</f>
        <v>0</v>
      </c>
      <c r="AH269" s="28">
        <f>IF(AQ269="0",BJ269,0)</f>
        <v>0</v>
      </c>
      <c r="AI269" s="27"/>
      <c r="AJ269" s="18">
        <f>IF(AN269=0,L269,0)</f>
        <v>0</v>
      </c>
      <c r="AK269" s="18">
        <f>IF(AN269=15,L269,0)</f>
        <v>0</v>
      </c>
      <c r="AL269" s="18">
        <f>IF(AN269=21,L269,0)</f>
        <v>0</v>
      </c>
      <c r="AN269" s="28">
        <v>21</v>
      </c>
      <c r="AO269" s="28">
        <f>I269*1</f>
        <v>0</v>
      </c>
      <c r="AP269" s="28">
        <f>I269*(1-1)</f>
        <v>0</v>
      </c>
      <c r="AQ269" s="30" t="s">
        <v>628</v>
      </c>
      <c r="AV269" s="28">
        <f>AW269+AX269</f>
        <v>0</v>
      </c>
      <c r="AW269" s="28">
        <f>H269*AO269</f>
        <v>0</v>
      </c>
      <c r="AX269" s="28">
        <f>H269*AP269</f>
        <v>0</v>
      </c>
      <c r="AY269" s="31" t="s">
        <v>655</v>
      </c>
      <c r="AZ269" s="31" t="s">
        <v>667</v>
      </c>
      <c r="BA269" s="27" t="s">
        <v>669</v>
      </c>
      <c r="BC269" s="28">
        <f>AW269+AX269</f>
        <v>0</v>
      </c>
      <c r="BD269" s="28">
        <f>I269/(100-BE269)*100</f>
        <v>0</v>
      </c>
      <c r="BE269" s="28">
        <v>0</v>
      </c>
      <c r="BF269" s="28">
        <f>269</f>
        <v>269</v>
      </c>
      <c r="BH269" s="18">
        <f>H269*AO269</f>
        <v>0</v>
      </c>
      <c r="BI269" s="18">
        <f>H269*AP269</f>
        <v>0</v>
      </c>
      <c r="BJ269" s="18">
        <f>H269*I269</f>
        <v>0</v>
      </c>
      <c r="BK269" s="18" t="s">
        <v>675</v>
      </c>
      <c r="BL269" s="28"/>
    </row>
    <row r="270" spans="1:14" ht="12.75">
      <c r="A270" s="4"/>
      <c r="B270" s="13" t="s">
        <v>144</v>
      </c>
      <c r="C270" s="115" t="s">
        <v>536</v>
      </c>
      <c r="D270" s="116"/>
      <c r="E270" s="116"/>
      <c r="F270" s="116"/>
      <c r="G270" s="116"/>
      <c r="H270" s="116"/>
      <c r="I270" s="116"/>
      <c r="J270" s="116"/>
      <c r="K270" s="116"/>
      <c r="L270" s="116"/>
      <c r="M270" s="117"/>
      <c r="N270" s="4"/>
    </row>
    <row r="271" spans="1:64" ht="12.75">
      <c r="A271" s="81" t="s">
        <v>117</v>
      </c>
      <c r="B271" s="81" t="s">
        <v>266</v>
      </c>
      <c r="C271" s="118" t="s">
        <v>537</v>
      </c>
      <c r="D271" s="114"/>
      <c r="E271" s="114"/>
      <c r="F271" s="119"/>
      <c r="G271" s="81" t="s">
        <v>597</v>
      </c>
      <c r="H271" s="82">
        <v>1</v>
      </c>
      <c r="I271" s="97">
        <v>0</v>
      </c>
      <c r="J271" s="82">
        <f>H271*AO271</f>
        <v>0</v>
      </c>
      <c r="K271" s="82">
        <f>H271*AP271</f>
        <v>0</v>
      </c>
      <c r="L271" s="82">
        <f>H271*I271</f>
        <v>0</v>
      </c>
      <c r="M271" s="83" t="s">
        <v>618</v>
      </c>
      <c r="N271" s="63"/>
      <c r="Z271" s="28">
        <f>IF(AQ271="5",BJ271,0)</f>
        <v>0</v>
      </c>
      <c r="AB271" s="28">
        <f>IF(AQ271="1",BH271,0)</f>
        <v>0</v>
      </c>
      <c r="AC271" s="28">
        <f>IF(AQ271="1",BI271,0)</f>
        <v>0</v>
      </c>
      <c r="AD271" s="28">
        <f>IF(AQ271="7",BH271,0)</f>
        <v>0</v>
      </c>
      <c r="AE271" s="28">
        <f>IF(AQ271="7",BI271,0)</f>
        <v>0</v>
      </c>
      <c r="AF271" s="28">
        <f>IF(AQ271="2",BH271,0)</f>
        <v>0</v>
      </c>
      <c r="AG271" s="28">
        <f>IF(AQ271="2",BI271,0)</f>
        <v>0</v>
      </c>
      <c r="AH271" s="28">
        <f>IF(AQ271="0",BJ271,0)</f>
        <v>0</v>
      </c>
      <c r="AI271" s="27"/>
      <c r="AJ271" s="18">
        <f>IF(AN271=0,L271,0)</f>
        <v>0</v>
      </c>
      <c r="AK271" s="18">
        <f>IF(AN271=15,L271,0)</f>
        <v>0</v>
      </c>
      <c r="AL271" s="18">
        <f>IF(AN271=21,L271,0)</f>
        <v>0</v>
      </c>
      <c r="AN271" s="28">
        <v>21</v>
      </c>
      <c r="AO271" s="28">
        <f>I271*1</f>
        <v>0</v>
      </c>
      <c r="AP271" s="28">
        <f>I271*(1-1)</f>
        <v>0</v>
      </c>
      <c r="AQ271" s="30" t="s">
        <v>628</v>
      </c>
      <c r="AV271" s="28">
        <f>AW271+AX271</f>
        <v>0</v>
      </c>
      <c r="AW271" s="28">
        <f>H271*AO271</f>
        <v>0</v>
      </c>
      <c r="AX271" s="28">
        <f>H271*AP271</f>
        <v>0</v>
      </c>
      <c r="AY271" s="31" t="s">
        <v>655</v>
      </c>
      <c r="AZ271" s="31" t="s">
        <v>667</v>
      </c>
      <c r="BA271" s="27" t="s">
        <v>669</v>
      </c>
      <c r="BC271" s="28">
        <f>AW271+AX271</f>
        <v>0</v>
      </c>
      <c r="BD271" s="28">
        <f>I271/(100-BE271)*100</f>
        <v>0</v>
      </c>
      <c r="BE271" s="28">
        <v>0</v>
      </c>
      <c r="BF271" s="28">
        <f>271</f>
        <v>271</v>
      </c>
      <c r="BH271" s="18">
        <f>H271*AO271</f>
        <v>0</v>
      </c>
      <c r="BI271" s="18">
        <f>H271*AP271</f>
        <v>0</v>
      </c>
      <c r="BJ271" s="18">
        <f>H271*I271</f>
        <v>0</v>
      </c>
      <c r="BK271" s="18" t="s">
        <v>675</v>
      </c>
      <c r="BL271" s="28"/>
    </row>
    <row r="272" spans="1:14" ht="12.75">
      <c r="A272" s="4"/>
      <c r="B272" s="13" t="s">
        <v>144</v>
      </c>
      <c r="C272" s="115" t="s">
        <v>538</v>
      </c>
      <c r="D272" s="116"/>
      <c r="E272" s="116"/>
      <c r="F272" s="116"/>
      <c r="G272" s="116"/>
      <c r="H272" s="116"/>
      <c r="I272" s="116"/>
      <c r="J272" s="116"/>
      <c r="K272" s="116"/>
      <c r="L272" s="116"/>
      <c r="M272" s="117"/>
      <c r="N272" s="4"/>
    </row>
    <row r="273" spans="1:14" s="86" customFormat="1" ht="12">
      <c r="A273" s="84"/>
      <c r="B273" s="85" t="s">
        <v>139</v>
      </c>
      <c r="C273" s="103" t="s">
        <v>539</v>
      </c>
      <c r="D273" s="104"/>
      <c r="E273" s="104"/>
      <c r="F273" s="104"/>
      <c r="G273" s="104"/>
      <c r="H273" s="104"/>
      <c r="I273" s="104"/>
      <c r="J273" s="104"/>
      <c r="K273" s="104"/>
      <c r="L273" s="104"/>
      <c r="M273" s="105"/>
      <c r="N273" s="84"/>
    </row>
    <row r="274" spans="1:64" ht="12.75">
      <c r="A274" s="81" t="s">
        <v>118</v>
      </c>
      <c r="B274" s="81" t="s">
        <v>267</v>
      </c>
      <c r="C274" s="118" t="s">
        <v>540</v>
      </c>
      <c r="D274" s="114"/>
      <c r="E274" s="114"/>
      <c r="F274" s="119"/>
      <c r="G274" s="81" t="s">
        <v>597</v>
      </c>
      <c r="H274" s="82">
        <v>5</v>
      </c>
      <c r="I274" s="97">
        <v>0</v>
      </c>
      <c r="J274" s="82">
        <f>H274*AO274</f>
        <v>0</v>
      </c>
      <c r="K274" s="82">
        <f>H274*AP274</f>
        <v>0</v>
      </c>
      <c r="L274" s="82">
        <f>H274*I274</f>
        <v>0</v>
      </c>
      <c r="M274" s="83" t="s">
        <v>618</v>
      </c>
      <c r="N274" s="63"/>
      <c r="Z274" s="28">
        <f>IF(AQ274="5",BJ274,0)</f>
        <v>0</v>
      </c>
      <c r="AB274" s="28">
        <f>IF(AQ274="1",BH274,0)</f>
        <v>0</v>
      </c>
      <c r="AC274" s="28">
        <f>IF(AQ274="1",BI274,0)</f>
        <v>0</v>
      </c>
      <c r="AD274" s="28">
        <f>IF(AQ274="7",BH274,0)</f>
        <v>0</v>
      </c>
      <c r="AE274" s="28">
        <f>IF(AQ274="7",BI274,0)</f>
        <v>0</v>
      </c>
      <c r="AF274" s="28">
        <f>IF(AQ274="2",BH274,0)</f>
        <v>0</v>
      </c>
      <c r="AG274" s="28">
        <f>IF(AQ274="2",BI274,0)</f>
        <v>0</v>
      </c>
      <c r="AH274" s="28">
        <f>IF(AQ274="0",BJ274,0)</f>
        <v>0</v>
      </c>
      <c r="AI274" s="27"/>
      <c r="AJ274" s="18">
        <f>IF(AN274=0,L274,0)</f>
        <v>0</v>
      </c>
      <c r="AK274" s="18">
        <f>IF(AN274=15,L274,0)</f>
        <v>0</v>
      </c>
      <c r="AL274" s="18">
        <f>IF(AN274=21,L274,0)</f>
        <v>0</v>
      </c>
      <c r="AN274" s="28">
        <v>21</v>
      </c>
      <c r="AO274" s="28">
        <f>I274*1</f>
        <v>0</v>
      </c>
      <c r="AP274" s="28">
        <f>I274*(1-1)</f>
        <v>0</v>
      </c>
      <c r="AQ274" s="30" t="s">
        <v>628</v>
      </c>
      <c r="AV274" s="28">
        <f>AW274+AX274</f>
        <v>0</v>
      </c>
      <c r="AW274" s="28">
        <f>H274*AO274</f>
        <v>0</v>
      </c>
      <c r="AX274" s="28">
        <f>H274*AP274</f>
        <v>0</v>
      </c>
      <c r="AY274" s="31" t="s">
        <v>655</v>
      </c>
      <c r="AZ274" s="31" t="s">
        <v>667</v>
      </c>
      <c r="BA274" s="27" t="s">
        <v>669</v>
      </c>
      <c r="BC274" s="28">
        <f>AW274+AX274</f>
        <v>0</v>
      </c>
      <c r="BD274" s="28">
        <f>I274/(100-BE274)*100</f>
        <v>0</v>
      </c>
      <c r="BE274" s="28">
        <v>0</v>
      </c>
      <c r="BF274" s="28">
        <f>274</f>
        <v>274</v>
      </c>
      <c r="BH274" s="18">
        <f>H274*AO274</f>
        <v>0</v>
      </c>
      <c r="BI274" s="18">
        <f>H274*AP274</f>
        <v>0</v>
      </c>
      <c r="BJ274" s="18">
        <f>H274*I274</f>
        <v>0</v>
      </c>
      <c r="BK274" s="18" t="s">
        <v>675</v>
      </c>
      <c r="BL274" s="28"/>
    </row>
    <row r="275" spans="1:14" ht="12.75">
      <c r="A275" s="4"/>
      <c r="B275" s="13" t="s">
        <v>144</v>
      </c>
      <c r="C275" s="115" t="s">
        <v>541</v>
      </c>
      <c r="D275" s="116"/>
      <c r="E275" s="116"/>
      <c r="F275" s="116"/>
      <c r="G275" s="116"/>
      <c r="H275" s="116"/>
      <c r="I275" s="116"/>
      <c r="J275" s="116"/>
      <c r="K275" s="116"/>
      <c r="L275" s="116"/>
      <c r="M275" s="117"/>
      <c r="N275" s="4"/>
    </row>
    <row r="276" spans="1:64" ht="12.75">
      <c r="A276" s="81" t="s">
        <v>119</v>
      </c>
      <c r="B276" s="81" t="s">
        <v>268</v>
      </c>
      <c r="C276" s="118" t="s">
        <v>542</v>
      </c>
      <c r="D276" s="114"/>
      <c r="E276" s="114"/>
      <c r="F276" s="119"/>
      <c r="G276" s="81" t="s">
        <v>597</v>
      </c>
      <c r="H276" s="82">
        <v>3</v>
      </c>
      <c r="I276" s="97">
        <v>0</v>
      </c>
      <c r="J276" s="82">
        <f>H276*AO276</f>
        <v>0</v>
      </c>
      <c r="K276" s="82">
        <f>H276*AP276</f>
        <v>0</v>
      </c>
      <c r="L276" s="82">
        <f>H276*I276</f>
        <v>0</v>
      </c>
      <c r="M276" s="83" t="s">
        <v>618</v>
      </c>
      <c r="N276" s="63"/>
      <c r="Z276" s="28">
        <f>IF(AQ276="5",BJ276,0)</f>
        <v>0</v>
      </c>
      <c r="AB276" s="28">
        <f>IF(AQ276="1",BH276,0)</f>
        <v>0</v>
      </c>
      <c r="AC276" s="28">
        <f>IF(AQ276="1",BI276,0)</f>
        <v>0</v>
      </c>
      <c r="AD276" s="28">
        <f>IF(AQ276="7",BH276,0)</f>
        <v>0</v>
      </c>
      <c r="AE276" s="28">
        <f>IF(AQ276="7",BI276,0)</f>
        <v>0</v>
      </c>
      <c r="AF276" s="28">
        <f>IF(AQ276="2",BH276,0)</f>
        <v>0</v>
      </c>
      <c r="AG276" s="28">
        <f>IF(AQ276="2",BI276,0)</f>
        <v>0</v>
      </c>
      <c r="AH276" s="28">
        <f>IF(AQ276="0",BJ276,0)</f>
        <v>0</v>
      </c>
      <c r="AI276" s="27"/>
      <c r="AJ276" s="18">
        <f>IF(AN276=0,L276,0)</f>
        <v>0</v>
      </c>
      <c r="AK276" s="18">
        <f>IF(AN276=15,L276,0)</f>
        <v>0</v>
      </c>
      <c r="AL276" s="18">
        <f>IF(AN276=21,L276,0)</f>
        <v>0</v>
      </c>
      <c r="AN276" s="28">
        <v>21</v>
      </c>
      <c r="AO276" s="28">
        <f>I276*1</f>
        <v>0</v>
      </c>
      <c r="AP276" s="28">
        <f>I276*(1-1)</f>
        <v>0</v>
      </c>
      <c r="AQ276" s="30" t="s">
        <v>628</v>
      </c>
      <c r="AV276" s="28">
        <f>AW276+AX276</f>
        <v>0</v>
      </c>
      <c r="AW276" s="28">
        <f>H276*AO276</f>
        <v>0</v>
      </c>
      <c r="AX276" s="28">
        <f>H276*AP276</f>
        <v>0</v>
      </c>
      <c r="AY276" s="31" t="s">
        <v>655</v>
      </c>
      <c r="AZ276" s="31" t="s">
        <v>667</v>
      </c>
      <c r="BA276" s="27" t="s">
        <v>669</v>
      </c>
      <c r="BC276" s="28">
        <f>AW276+AX276</f>
        <v>0</v>
      </c>
      <c r="BD276" s="28">
        <f>I276/(100-BE276)*100</f>
        <v>0</v>
      </c>
      <c r="BE276" s="28">
        <v>0</v>
      </c>
      <c r="BF276" s="28">
        <f>276</f>
        <v>276</v>
      </c>
      <c r="BH276" s="18">
        <f>H276*AO276</f>
        <v>0</v>
      </c>
      <c r="BI276" s="18">
        <f>H276*AP276</f>
        <v>0</v>
      </c>
      <c r="BJ276" s="18">
        <f>H276*I276</f>
        <v>0</v>
      </c>
      <c r="BK276" s="18" t="s">
        <v>675</v>
      </c>
      <c r="BL276" s="28"/>
    </row>
    <row r="277" spans="1:14" ht="12.75">
      <c r="A277" s="4"/>
      <c r="B277" s="13" t="s">
        <v>144</v>
      </c>
      <c r="C277" s="115" t="s">
        <v>543</v>
      </c>
      <c r="D277" s="116"/>
      <c r="E277" s="116"/>
      <c r="F277" s="116"/>
      <c r="G277" s="116"/>
      <c r="H277" s="116"/>
      <c r="I277" s="116"/>
      <c r="J277" s="116"/>
      <c r="K277" s="116"/>
      <c r="L277" s="116"/>
      <c r="M277" s="117"/>
      <c r="N277" s="4"/>
    </row>
    <row r="278" spans="1:64" ht="12.75">
      <c r="A278" s="81" t="s">
        <v>120</v>
      </c>
      <c r="B278" s="81" t="s">
        <v>269</v>
      </c>
      <c r="C278" s="118" t="s">
        <v>544</v>
      </c>
      <c r="D278" s="114"/>
      <c r="E278" s="114"/>
      <c r="F278" s="119"/>
      <c r="G278" s="81" t="s">
        <v>597</v>
      </c>
      <c r="H278" s="82">
        <v>5</v>
      </c>
      <c r="I278" s="97">
        <v>0</v>
      </c>
      <c r="J278" s="82">
        <f>H278*AO278</f>
        <v>0</v>
      </c>
      <c r="K278" s="82">
        <f>H278*AP278</f>
        <v>0</v>
      </c>
      <c r="L278" s="82">
        <f>H278*I278</f>
        <v>0</v>
      </c>
      <c r="M278" s="83" t="s">
        <v>618</v>
      </c>
      <c r="N278" s="63"/>
      <c r="Z278" s="28">
        <f>IF(AQ278="5",BJ278,0)</f>
        <v>0</v>
      </c>
      <c r="AB278" s="28">
        <f>IF(AQ278="1",BH278,0)</f>
        <v>0</v>
      </c>
      <c r="AC278" s="28">
        <f>IF(AQ278="1",BI278,0)</f>
        <v>0</v>
      </c>
      <c r="AD278" s="28">
        <f>IF(AQ278="7",BH278,0)</f>
        <v>0</v>
      </c>
      <c r="AE278" s="28">
        <f>IF(AQ278="7",BI278,0)</f>
        <v>0</v>
      </c>
      <c r="AF278" s="28">
        <f>IF(AQ278="2",BH278,0)</f>
        <v>0</v>
      </c>
      <c r="AG278" s="28">
        <f>IF(AQ278="2",BI278,0)</f>
        <v>0</v>
      </c>
      <c r="AH278" s="28">
        <f>IF(AQ278="0",BJ278,0)</f>
        <v>0</v>
      </c>
      <c r="AI278" s="27"/>
      <c r="AJ278" s="18">
        <f>IF(AN278=0,L278,0)</f>
        <v>0</v>
      </c>
      <c r="AK278" s="18">
        <f>IF(AN278=15,L278,0)</f>
        <v>0</v>
      </c>
      <c r="AL278" s="18">
        <f>IF(AN278=21,L278,0)</f>
        <v>0</v>
      </c>
      <c r="AN278" s="28">
        <v>21</v>
      </c>
      <c r="AO278" s="28">
        <f>I278*1</f>
        <v>0</v>
      </c>
      <c r="AP278" s="28">
        <f>I278*(1-1)</f>
        <v>0</v>
      </c>
      <c r="AQ278" s="30" t="s">
        <v>628</v>
      </c>
      <c r="AV278" s="28">
        <f>AW278+AX278</f>
        <v>0</v>
      </c>
      <c r="AW278" s="28">
        <f>H278*AO278</f>
        <v>0</v>
      </c>
      <c r="AX278" s="28">
        <f>H278*AP278</f>
        <v>0</v>
      </c>
      <c r="AY278" s="31" t="s">
        <v>655</v>
      </c>
      <c r="AZ278" s="31" t="s">
        <v>667</v>
      </c>
      <c r="BA278" s="27" t="s">
        <v>669</v>
      </c>
      <c r="BC278" s="28">
        <f>AW278+AX278</f>
        <v>0</v>
      </c>
      <c r="BD278" s="28">
        <f>I278/(100-BE278)*100</f>
        <v>0</v>
      </c>
      <c r="BE278" s="28">
        <v>0</v>
      </c>
      <c r="BF278" s="28">
        <f>278</f>
        <v>278</v>
      </c>
      <c r="BH278" s="18">
        <f>H278*AO278</f>
        <v>0</v>
      </c>
      <c r="BI278" s="18">
        <f>H278*AP278</f>
        <v>0</v>
      </c>
      <c r="BJ278" s="18">
        <f>H278*I278</f>
        <v>0</v>
      </c>
      <c r="BK278" s="18" t="s">
        <v>675</v>
      </c>
      <c r="BL278" s="28"/>
    </row>
    <row r="279" spans="1:14" ht="12.75">
      <c r="A279" s="4"/>
      <c r="B279" s="13" t="s">
        <v>144</v>
      </c>
      <c r="C279" s="115" t="s">
        <v>545</v>
      </c>
      <c r="D279" s="116"/>
      <c r="E279" s="116"/>
      <c r="F279" s="116"/>
      <c r="G279" s="116"/>
      <c r="H279" s="116"/>
      <c r="I279" s="116"/>
      <c r="J279" s="116"/>
      <c r="K279" s="116"/>
      <c r="L279" s="116"/>
      <c r="M279" s="117"/>
      <c r="N279" s="4"/>
    </row>
    <row r="280" spans="1:64" ht="12.75">
      <c r="A280" s="81" t="s">
        <v>121</v>
      </c>
      <c r="B280" s="81" t="s">
        <v>270</v>
      </c>
      <c r="C280" s="118" t="s">
        <v>546</v>
      </c>
      <c r="D280" s="114"/>
      <c r="E280" s="114"/>
      <c r="F280" s="119"/>
      <c r="G280" s="81" t="s">
        <v>595</v>
      </c>
      <c r="H280" s="82">
        <v>0.01</v>
      </c>
      <c r="I280" s="97">
        <v>0</v>
      </c>
      <c r="J280" s="82">
        <f>H280*AO280</f>
        <v>0</v>
      </c>
      <c r="K280" s="82">
        <f>H280*AP280</f>
        <v>0</v>
      </c>
      <c r="L280" s="82">
        <f>H280*I280</f>
        <v>0</v>
      </c>
      <c r="M280" s="83" t="s">
        <v>618</v>
      </c>
      <c r="N280" s="63"/>
      <c r="Z280" s="28">
        <f>IF(AQ280="5",BJ280,0)</f>
        <v>0</v>
      </c>
      <c r="AB280" s="28">
        <f>IF(AQ280="1",BH280,0)</f>
        <v>0</v>
      </c>
      <c r="AC280" s="28">
        <f>IF(AQ280="1",BI280,0)</f>
        <v>0</v>
      </c>
      <c r="AD280" s="28">
        <f>IF(AQ280="7",BH280,0)</f>
        <v>0</v>
      </c>
      <c r="AE280" s="28">
        <f>IF(AQ280="7",BI280,0)</f>
        <v>0</v>
      </c>
      <c r="AF280" s="28">
        <f>IF(AQ280="2",BH280,0)</f>
        <v>0</v>
      </c>
      <c r="AG280" s="28">
        <f>IF(AQ280="2",BI280,0)</f>
        <v>0</v>
      </c>
      <c r="AH280" s="28">
        <f>IF(AQ280="0",BJ280,0)</f>
        <v>0</v>
      </c>
      <c r="AI280" s="27"/>
      <c r="AJ280" s="18">
        <f>IF(AN280=0,L280,0)</f>
        <v>0</v>
      </c>
      <c r="AK280" s="18">
        <f>IF(AN280=15,L280,0)</f>
        <v>0</v>
      </c>
      <c r="AL280" s="18">
        <f>IF(AN280=21,L280,0)</f>
        <v>0</v>
      </c>
      <c r="AN280" s="28">
        <v>21</v>
      </c>
      <c r="AO280" s="28">
        <f>I280*1</f>
        <v>0</v>
      </c>
      <c r="AP280" s="28">
        <f>I280*(1-1)</f>
        <v>0</v>
      </c>
      <c r="AQ280" s="30" t="s">
        <v>628</v>
      </c>
      <c r="AV280" s="28">
        <f>AW280+AX280</f>
        <v>0</v>
      </c>
      <c r="AW280" s="28">
        <f>H280*AO280</f>
        <v>0</v>
      </c>
      <c r="AX280" s="28">
        <f>H280*AP280</f>
        <v>0</v>
      </c>
      <c r="AY280" s="31" t="s">
        <v>655</v>
      </c>
      <c r="AZ280" s="31" t="s">
        <v>667</v>
      </c>
      <c r="BA280" s="27" t="s">
        <v>669</v>
      </c>
      <c r="BC280" s="28">
        <f>AW280+AX280</f>
        <v>0</v>
      </c>
      <c r="BD280" s="28">
        <f>I280/(100-BE280)*100</f>
        <v>0</v>
      </c>
      <c r="BE280" s="28">
        <v>0</v>
      </c>
      <c r="BF280" s="28">
        <f>280</f>
        <v>280</v>
      </c>
      <c r="BH280" s="18">
        <f>H280*AO280</f>
        <v>0</v>
      </c>
      <c r="BI280" s="18">
        <f>H280*AP280</f>
        <v>0</v>
      </c>
      <c r="BJ280" s="18">
        <f>H280*I280</f>
        <v>0</v>
      </c>
      <c r="BK280" s="18" t="s">
        <v>675</v>
      </c>
      <c r="BL280" s="28"/>
    </row>
    <row r="281" spans="1:14" ht="12.75">
      <c r="A281" s="4"/>
      <c r="B281" s="13" t="s">
        <v>144</v>
      </c>
      <c r="C281" s="115" t="s">
        <v>547</v>
      </c>
      <c r="D281" s="116"/>
      <c r="E281" s="116"/>
      <c r="F281" s="116"/>
      <c r="G281" s="116"/>
      <c r="H281" s="116"/>
      <c r="I281" s="116"/>
      <c r="J281" s="116"/>
      <c r="K281" s="116"/>
      <c r="L281" s="116"/>
      <c r="M281" s="117"/>
      <c r="N281" s="4"/>
    </row>
    <row r="282" spans="1:14" s="86" customFormat="1" ht="12">
      <c r="A282" s="84"/>
      <c r="B282" s="85" t="s">
        <v>139</v>
      </c>
      <c r="C282" s="103" t="s">
        <v>548</v>
      </c>
      <c r="D282" s="104"/>
      <c r="E282" s="104"/>
      <c r="F282" s="104"/>
      <c r="G282" s="104"/>
      <c r="H282" s="104"/>
      <c r="I282" s="104"/>
      <c r="J282" s="104"/>
      <c r="K282" s="104"/>
      <c r="L282" s="104"/>
      <c r="M282" s="105"/>
      <c r="N282" s="84"/>
    </row>
    <row r="283" spans="1:64" ht="12.75">
      <c r="A283" s="81" t="s">
        <v>122</v>
      </c>
      <c r="B283" s="81" t="s">
        <v>271</v>
      </c>
      <c r="C283" s="118" t="s">
        <v>549</v>
      </c>
      <c r="D283" s="114"/>
      <c r="E283" s="114"/>
      <c r="F283" s="119"/>
      <c r="G283" s="81" t="s">
        <v>597</v>
      </c>
      <c r="H283" s="82">
        <v>4</v>
      </c>
      <c r="I283" s="97">
        <v>0</v>
      </c>
      <c r="J283" s="82">
        <f>H283*AO283</f>
        <v>0</v>
      </c>
      <c r="K283" s="82">
        <f>H283*AP283</f>
        <v>0</v>
      </c>
      <c r="L283" s="82">
        <f>H283*I283</f>
        <v>0</v>
      </c>
      <c r="M283" s="83" t="s">
        <v>618</v>
      </c>
      <c r="N283" s="63"/>
      <c r="Z283" s="28">
        <f>IF(AQ283="5",BJ283,0)</f>
        <v>0</v>
      </c>
      <c r="AB283" s="28">
        <f>IF(AQ283="1",BH283,0)</f>
        <v>0</v>
      </c>
      <c r="AC283" s="28">
        <f>IF(AQ283="1",BI283,0)</f>
        <v>0</v>
      </c>
      <c r="AD283" s="28">
        <f>IF(AQ283="7",BH283,0)</f>
        <v>0</v>
      </c>
      <c r="AE283" s="28">
        <f>IF(AQ283="7",BI283,0)</f>
        <v>0</v>
      </c>
      <c r="AF283" s="28">
        <f>IF(AQ283="2",BH283,0)</f>
        <v>0</v>
      </c>
      <c r="AG283" s="28">
        <f>IF(AQ283="2",BI283,0)</f>
        <v>0</v>
      </c>
      <c r="AH283" s="28">
        <f>IF(AQ283="0",BJ283,0)</f>
        <v>0</v>
      </c>
      <c r="AI283" s="27"/>
      <c r="AJ283" s="18">
        <f>IF(AN283=0,L283,0)</f>
        <v>0</v>
      </c>
      <c r="AK283" s="18">
        <f>IF(AN283=15,L283,0)</f>
        <v>0</v>
      </c>
      <c r="AL283" s="18">
        <f>IF(AN283=21,L283,0)</f>
        <v>0</v>
      </c>
      <c r="AN283" s="28">
        <v>21</v>
      </c>
      <c r="AO283" s="28">
        <f>I283*1</f>
        <v>0</v>
      </c>
      <c r="AP283" s="28">
        <f>I283*(1-1)</f>
        <v>0</v>
      </c>
      <c r="AQ283" s="30" t="s">
        <v>628</v>
      </c>
      <c r="AV283" s="28">
        <f>AW283+AX283</f>
        <v>0</v>
      </c>
      <c r="AW283" s="28">
        <f>H283*AO283</f>
        <v>0</v>
      </c>
      <c r="AX283" s="28">
        <f>H283*AP283</f>
        <v>0</v>
      </c>
      <c r="AY283" s="31" t="s">
        <v>655</v>
      </c>
      <c r="AZ283" s="31" t="s">
        <v>667</v>
      </c>
      <c r="BA283" s="27" t="s">
        <v>669</v>
      </c>
      <c r="BC283" s="28">
        <f>AW283+AX283</f>
        <v>0</v>
      </c>
      <c r="BD283" s="28">
        <f>I283/(100-BE283)*100</f>
        <v>0</v>
      </c>
      <c r="BE283" s="28">
        <v>0</v>
      </c>
      <c r="BF283" s="28">
        <f>283</f>
        <v>283</v>
      </c>
      <c r="BH283" s="18">
        <f>H283*AO283</f>
        <v>0</v>
      </c>
      <c r="BI283" s="18">
        <f>H283*AP283</f>
        <v>0</v>
      </c>
      <c r="BJ283" s="18">
        <f>H283*I283</f>
        <v>0</v>
      </c>
      <c r="BK283" s="18" t="s">
        <v>675</v>
      </c>
      <c r="BL283" s="28"/>
    </row>
    <row r="284" spans="1:14" ht="25.5" customHeight="1">
      <c r="A284" s="4"/>
      <c r="B284" s="13" t="s">
        <v>144</v>
      </c>
      <c r="C284" s="115" t="s">
        <v>550</v>
      </c>
      <c r="D284" s="116"/>
      <c r="E284" s="116"/>
      <c r="F284" s="116"/>
      <c r="G284" s="116"/>
      <c r="H284" s="116"/>
      <c r="I284" s="116"/>
      <c r="J284" s="116"/>
      <c r="K284" s="116"/>
      <c r="L284" s="116"/>
      <c r="M284" s="117"/>
      <c r="N284" s="4"/>
    </row>
    <row r="285" spans="1:14" s="86" customFormat="1" ht="12">
      <c r="A285" s="84"/>
      <c r="B285" s="85" t="s">
        <v>139</v>
      </c>
      <c r="C285" s="103" t="s">
        <v>551</v>
      </c>
      <c r="D285" s="104"/>
      <c r="E285" s="104"/>
      <c r="F285" s="104"/>
      <c r="G285" s="104"/>
      <c r="H285" s="104"/>
      <c r="I285" s="104"/>
      <c r="J285" s="104"/>
      <c r="K285" s="104"/>
      <c r="L285" s="104"/>
      <c r="M285" s="105"/>
      <c r="N285" s="84"/>
    </row>
    <row r="286" spans="1:64" ht="12.75">
      <c r="A286" s="81" t="s">
        <v>123</v>
      </c>
      <c r="B286" s="81" t="s">
        <v>272</v>
      </c>
      <c r="C286" s="118" t="s">
        <v>552</v>
      </c>
      <c r="D286" s="114"/>
      <c r="E286" s="114"/>
      <c r="F286" s="119"/>
      <c r="G286" s="81" t="s">
        <v>598</v>
      </c>
      <c r="H286" s="82">
        <v>50</v>
      </c>
      <c r="I286" s="97">
        <v>0</v>
      </c>
      <c r="J286" s="82">
        <f>H286*AO286</f>
        <v>0</v>
      </c>
      <c r="K286" s="82">
        <f>H286*AP286</f>
        <v>0</v>
      </c>
      <c r="L286" s="82">
        <f>H286*I286</f>
        <v>0</v>
      </c>
      <c r="M286" s="83" t="s">
        <v>618</v>
      </c>
      <c r="N286" s="63"/>
      <c r="Z286" s="28">
        <f>IF(AQ286="5",BJ286,0)</f>
        <v>0</v>
      </c>
      <c r="AB286" s="28">
        <f>IF(AQ286="1",BH286,0)</f>
        <v>0</v>
      </c>
      <c r="AC286" s="28">
        <f>IF(AQ286="1",BI286,0)</f>
        <v>0</v>
      </c>
      <c r="AD286" s="28">
        <f>IF(AQ286="7",BH286,0)</f>
        <v>0</v>
      </c>
      <c r="AE286" s="28">
        <f>IF(AQ286="7",BI286,0)</f>
        <v>0</v>
      </c>
      <c r="AF286" s="28">
        <f>IF(AQ286="2",BH286,0)</f>
        <v>0</v>
      </c>
      <c r="AG286" s="28">
        <f>IF(AQ286="2",BI286,0)</f>
        <v>0</v>
      </c>
      <c r="AH286" s="28">
        <f>IF(AQ286="0",BJ286,0)</f>
        <v>0</v>
      </c>
      <c r="AI286" s="27"/>
      <c r="AJ286" s="18">
        <f>IF(AN286=0,L286,0)</f>
        <v>0</v>
      </c>
      <c r="AK286" s="18">
        <f>IF(AN286=15,L286,0)</f>
        <v>0</v>
      </c>
      <c r="AL286" s="18">
        <f>IF(AN286=21,L286,0)</f>
        <v>0</v>
      </c>
      <c r="AN286" s="28">
        <v>21</v>
      </c>
      <c r="AO286" s="28">
        <f>I286*1</f>
        <v>0</v>
      </c>
      <c r="AP286" s="28">
        <f>I286*(1-1)</f>
        <v>0</v>
      </c>
      <c r="AQ286" s="30" t="s">
        <v>628</v>
      </c>
      <c r="AV286" s="28">
        <f>AW286+AX286</f>
        <v>0</v>
      </c>
      <c r="AW286" s="28">
        <f>H286*AO286</f>
        <v>0</v>
      </c>
      <c r="AX286" s="28">
        <f>H286*AP286</f>
        <v>0</v>
      </c>
      <c r="AY286" s="31" t="s">
        <v>655</v>
      </c>
      <c r="AZ286" s="31" t="s">
        <v>667</v>
      </c>
      <c r="BA286" s="27" t="s">
        <v>669</v>
      </c>
      <c r="BC286" s="28">
        <f>AW286+AX286</f>
        <v>0</v>
      </c>
      <c r="BD286" s="28">
        <f>I286/(100-BE286)*100</f>
        <v>0</v>
      </c>
      <c r="BE286" s="28">
        <v>0</v>
      </c>
      <c r="BF286" s="28">
        <f>286</f>
        <v>286</v>
      </c>
      <c r="BH286" s="18">
        <f>H286*AO286</f>
        <v>0</v>
      </c>
      <c r="BI286" s="18">
        <f>H286*AP286</f>
        <v>0</v>
      </c>
      <c r="BJ286" s="18">
        <f>H286*I286</f>
        <v>0</v>
      </c>
      <c r="BK286" s="18" t="s">
        <v>675</v>
      </c>
      <c r="BL286" s="28"/>
    </row>
    <row r="287" spans="1:14" ht="25.5" customHeight="1">
      <c r="A287" s="4"/>
      <c r="B287" s="13" t="s">
        <v>144</v>
      </c>
      <c r="C287" s="115" t="s">
        <v>553</v>
      </c>
      <c r="D287" s="116"/>
      <c r="E287" s="116"/>
      <c r="F287" s="116"/>
      <c r="G287" s="116"/>
      <c r="H287" s="116"/>
      <c r="I287" s="116"/>
      <c r="J287" s="116"/>
      <c r="K287" s="116"/>
      <c r="L287" s="116"/>
      <c r="M287" s="117"/>
      <c r="N287" s="4"/>
    </row>
    <row r="288" spans="1:64" ht="12.75">
      <c r="A288" s="81" t="s">
        <v>124</v>
      </c>
      <c r="B288" s="81" t="s">
        <v>273</v>
      </c>
      <c r="C288" s="118" t="s">
        <v>554</v>
      </c>
      <c r="D288" s="114"/>
      <c r="E288" s="114"/>
      <c r="F288" s="119"/>
      <c r="G288" s="81" t="s">
        <v>598</v>
      </c>
      <c r="H288" s="82">
        <v>20</v>
      </c>
      <c r="I288" s="97">
        <v>0</v>
      </c>
      <c r="J288" s="82">
        <f>H288*AO288</f>
        <v>0</v>
      </c>
      <c r="K288" s="82">
        <f>H288*AP288</f>
        <v>0</v>
      </c>
      <c r="L288" s="82">
        <f>H288*I288</f>
        <v>0</v>
      </c>
      <c r="M288" s="83" t="s">
        <v>618</v>
      </c>
      <c r="N288" s="63"/>
      <c r="Z288" s="28">
        <f>IF(AQ288="5",BJ288,0)</f>
        <v>0</v>
      </c>
      <c r="AB288" s="28">
        <f>IF(AQ288="1",BH288,0)</f>
        <v>0</v>
      </c>
      <c r="AC288" s="28">
        <f>IF(AQ288="1",BI288,0)</f>
        <v>0</v>
      </c>
      <c r="AD288" s="28">
        <f>IF(AQ288="7",BH288,0)</f>
        <v>0</v>
      </c>
      <c r="AE288" s="28">
        <f>IF(AQ288="7",BI288,0)</f>
        <v>0</v>
      </c>
      <c r="AF288" s="28">
        <f>IF(AQ288="2",BH288,0)</f>
        <v>0</v>
      </c>
      <c r="AG288" s="28">
        <f>IF(AQ288="2",BI288,0)</f>
        <v>0</v>
      </c>
      <c r="AH288" s="28">
        <f>IF(AQ288="0",BJ288,0)</f>
        <v>0</v>
      </c>
      <c r="AI288" s="27"/>
      <c r="AJ288" s="18">
        <f>IF(AN288=0,L288,0)</f>
        <v>0</v>
      </c>
      <c r="AK288" s="18">
        <f>IF(AN288=15,L288,0)</f>
        <v>0</v>
      </c>
      <c r="AL288" s="18">
        <f>IF(AN288=21,L288,0)</f>
        <v>0</v>
      </c>
      <c r="AN288" s="28">
        <v>21</v>
      </c>
      <c r="AO288" s="28">
        <f>I288*1</f>
        <v>0</v>
      </c>
      <c r="AP288" s="28">
        <f>I288*(1-1)</f>
        <v>0</v>
      </c>
      <c r="AQ288" s="30" t="s">
        <v>628</v>
      </c>
      <c r="AV288" s="28">
        <f>AW288+AX288</f>
        <v>0</v>
      </c>
      <c r="AW288" s="28">
        <f>H288*AO288</f>
        <v>0</v>
      </c>
      <c r="AX288" s="28">
        <f>H288*AP288</f>
        <v>0</v>
      </c>
      <c r="AY288" s="31" t="s">
        <v>655</v>
      </c>
      <c r="AZ288" s="31" t="s">
        <v>667</v>
      </c>
      <c r="BA288" s="27" t="s">
        <v>669</v>
      </c>
      <c r="BC288" s="28">
        <f>AW288+AX288</f>
        <v>0</v>
      </c>
      <c r="BD288" s="28">
        <f>I288/(100-BE288)*100</f>
        <v>0</v>
      </c>
      <c r="BE288" s="28">
        <v>0</v>
      </c>
      <c r="BF288" s="28">
        <f>288</f>
        <v>288</v>
      </c>
      <c r="BH288" s="18">
        <f>H288*AO288</f>
        <v>0</v>
      </c>
      <c r="BI288" s="18">
        <f>H288*AP288</f>
        <v>0</v>
      </c>
      <c r="BJ288" s="18">
        <f>H288*I288</f>
        <v>0</v>
      </c>
      <c r="BK288" s="18" t="s">
        <v>675</v>
      </c>
      <c r="BL288" s="28"/>
    </row>
    <row r="289" spans="1:14" ht="25.5" customHeight="1">
      <c r="A289" s="4"/>
      <c r="B289" s="13" t="s">
        <v>144</v>
      </c>
      <c r="C289" s="115" t="s">
        <v>553</v>
      </c>
      <c r="D289" s="116"/>
      <c r="E289" s="116"/>
      <c r="F289" s="116"/>
      <c r="G289" s="116"/>
      <c r="H289" s="116"/>
      <c r="I289" s="116"/>
      <c r="J289" s="116"/>
      <c r="K289" s="116"/>
      <c r="L289" s="116"/>
      <c r="M289" s="117"/>
      <c r="N289" s="4"/>
    </row>
    <row r="290" spans="1:64" ht="12.75">
      <c r="A290" s="81" t="s">
        <v>125</v>
      </c>
      <c r="B290" s="81" t="s">
        <v>274</v>
      </c>
      <c r="C290" s="118" t="s">
        <v>555</v>
      </c>
      <c r="D290" s="114"/>
      <c r="E290" s="114"/>
      <c r="F290" s="119"/>
      <c r="G290" s="81" t="s">
        <v>598</v>
      </c>
      <c r="H290" s="82">
        <v>50</v>
      </c>
      <c r="I290" s="97">
        <v>0</v>
      </c>
      <c r="J290" s="82">
        <f>H290*AO290</f>
        <v>0</v>
      </c>
      <c r="K290" s="82">
        <f>H290*AP290</f>
        <v>0</v>
      </c>
      <c r="L290" s="82">
        <f>H290*I290</f>
        <v>0</v>
      </c>
      <c r="M290" s="83" t="s">
        <v>618</v>
      </c>
      <c r="N290" s="63"/>
      <c r="Z290" s="28">
        <f>IF(AQ290="5",BJ290,0)</f>
        <v>0</v>
      </c>
      <c r="AB290" s="28">
        <f>IF(AQ290="1",BH290,0)</f>
        <v>0</v>
      </c>
      <c r="AC290" s="28">
        <f>IF(AQ290="1",BI290,0)</f>
        <v>0</v>
      </c>
      <c r="AD290" s="28">
        <f>IF(AQ290="7",BH290,0)</f>
        <v>0</v>
      </c>
      <c r="AE290" s="28">
        <f>IF(AQ290="7",BI290,0)</f>
        <v>0</v>
      </c>
      <c r="AF290" s="28">
        <f>IF(AQ290="2",BH290,0)</f>
        <v>0</v>
      </c>
      <c r="AG290" s="28">
        <f>IF(AQ290="2",BI290,0)</f>
        <v>0</v>
      </c>
      <c r="AH290" s="28">
        <f>IF(AQ290="0",BJ290,0)</f>
        <v>0</v>
      </c>
      <c r="AI290" s="27"/>
      <c r="AJ290" s="18">
        <f>IF(AN290=0,L290,0)</f>
        <v>0</v>
      </c>
      <c r="AK290" s="18">
        <f>IF(AN290=15,L290,0)</f>
        <v>0</v>
      </c>
      <c r="AL290" s="18">
        <f>IF(AN290=21,L290,0)</f>
        <v>0</v>
      </c>
      <c r="AN290" s="28">
        <v>21</v>
      </c>
      <c r="AO290" s="28">
        <f>I290*1</f>
        <v>0</v>
      </c>
      <c r="AP290" s="28">
        <f>I290*(1-1)</f>
        <v>0</v>
      </c>
      <c r="AQ290" s="30" t="s">
        <v>628</v>
      </c>
      <c r="AV290" s="28">
        <f>AW290+AX290</f>
        <v>0</v>
      </c>
      <c r="AW290" s="28">
        <f>H290*AO290</f>
        <v>0</v>
      </c>
      <c r="AX290" s="28">
        <f>H290*AP290</f>
        <v>0</v>
      </c>
      <c r="AY290" s="31" t="s">
        <v>655</v>
      </c>
      <c r="AZ290" s="31" t="s">
        <v>667</v>
      </c>
      <c r="BA290" s="27" t="s">
        <v>669</v>
      </c>
      <c r="BC290" s="28">
        <f>AW290+AX290</f>
        <v>0</v>
      </c>
      <c r="BD290" s="28">
        <f>I290/(100-BE290)*100</f>
        <v>0</v>
      </c>
      <c r="BE290" s="28">
        <v>0</v>
      </c>
      <c r="BF290" s="28">
        <f>290</f>
        <v>290</v>
      </c>
      <c r="BH290" s="18">
        <f>H290*AO290</f>
        <v>0</v>
      </c>
      <c r="BI290" s="18">
        <f>H290*AP290</f>
        <v>0</v>
      </c>
      <c r="BJ290" s="18">
        <f>H290*I290</f>
        <v>0</v>
      </c>
      <c r="BK290" s="18" t="s">
        <v>675</v>
      </c>
      <c r="BL290" s="28"/>
    </row>
    <row r="291" spans="1:14" ht="25.5" customHeight="1">
      <c r="A291" s="4"/>
      <c r="B291" s="13" t="s">
        <v>144</v>
      </c>
      <c r="C291" s="115" t="s">
        <v>553</v>
      </c>
      <c r="D291" s="116"/>
      <c r="E291" s="116"/>
      <c r="F291" s="116"/>
      <c r="G291" s="116"/>
      <c r="H291" s="116"/>
      <c r="I291" s="116"/>
      <c r="J291" s="116"/>
      <c r="K291" s="116"/>
      <c r="L291" s="116"/>
      <c r="M291" s="117"/>
      <c r="N291" s="4"/>
    </row>
    <row r="292" spans="1:64" ht="12.75">
      <c r="A292" s="81" t="s">
        <v>126</v>
      </c>
      <c r="B292" s="81" t="s">
        <v>275</v>
      </c>
      <c r="C292" s="118" t="s">
        <v>556</v>
      </c>
      <c r="D292" s="114"/>
      <c r="E292" s="114"/>
      <c r="F292" s="119"/>
      <c r="G292" s="81" t="s">
        <v>597</v>
      </c>
      <c r="H292" s="82">
        <v>1</v>
      </c>
      <c r="I292" s="97">
        <v>0</v>
      </c>
      <c r="J292" s="82">
        <f>H292*AO292</f>
        <v>0</v>
      </c>
      <c r="K292" s="82">
        <f>H292*AP292</f>
        <v>0</v>
      </c>
      <c r="L292" s="82">
        <f>H292*I292</f>
        <v>0</v>
      </c>
      <c r="M292" s="83" t="s">
        <v>618</v>
      </c>
      <c r="N292" s="63"/>
      <c r="Z292" s="28">
        <f>IF(AQ292="5",BJ292,0)</f>
        <v>0</v>
      </c>
      <c r="AB292" s="28">
        <f>IF(AQ292="1",BH292,0)</f>
        <v>0</v>
      </c>
      <c r="AC292" s="28">
        <f>IF(AQ292="1",BI292,0)</f>
        <v>0</v>
      </c>
      <c r="AD292" s="28">
        <f>IF(AQ292="7",BH292,0)</f>
        <v>0</v>
      </c>
      <c r="AE292" s="28">
        <f>IF(AQ292="7",BI292,0)</f>
        <v>0</v>
      </c>
      <c r="AF292" s="28">
        <f>IF(AQ292="2",BH292,0)</f>
        <v>0</v>
      </c>
      <c r="AG292" s="28">
        <f>IF(AQ292="2",BI292,0)</f>
        <v>0</v>
      </c>
      <c r="AH292" s="28">
        <f>IF(AQ292="0",BJ292,0)</f>
        <v>0</v>
      </c>
      <c r="AI292" s="27"/>
      <c r="AJ292" s="18">
        <f>IF(AN292=0,L292,0)</f>
        <v>0</v>
      </c>
      <c r="AK292" s="18">
        <f>IF(AN292=15,L292,0)</f>
        <v>0</v>
      </c>
      <c r="AL292" s="18">
        <f>IF(AN292=21,L292,0)</f>
        <v>0</v>
      </c>
      <c r="AN292" s="28">
        <v>21</v>
      </c>
      <c r="AO292" s="28">
        <f>I292*1</f>
        <v>0</v>
      </c>
      <c r="AP292" s="28">
        <f>I292*(1-1)</f>
        <v>0</v>
      </c>
      <c r="AQ292" s="30" t="s">
        <v>628</v>
      </c>
      <c r="AV292" s="28">
        <f>AW292+AX292</f>
        <v>0</v>
      </c>
      <c r="AW292" s="28">
        <f>H292*AO292</f>
        <v>0</v>
      </c>
      <c r="AX292" s="28">
        <f>H292*AP292</f>
        <v>0</v>
      </c>
      <c r="AY292" s="31" t="s">
        <v>655</v>
      </c>
      <c r="AZ292" s="31" t="s">
        <v>667</v>
      </c>
      <c r="BA292" s="27" t="s">
        <v>669</v>
      </c>
      <c r="BC292" s="28">
        <f>AW292+AX292</f>
        <v>0</v>
      </c>
      <c r="BD292" s="28">
        <f>I292/(100-BE292)*100</f>
        <v>0</v>
      </c>
      <c r="BE292" s="28">
        <v>0</v>
      </c>
      <c r="BF292" s="28">
        <f>292</f>
        <v>292</v>
      </c>
      <c r="BH292" s="18">
        <f>H292*AO292</f>
        <v>0</v>
      </c>
      <c r="BI292" s="18">
        <f>H292*AP292</f>
        <v>0</v>
      </c>
      <c r="BJ292" s="18">
        <f>H292*I292</f>
        <v>0</v>
      </c>
      <c r="BK292" s="18" t="s">
        <v>675</v>
      </c>
      <c r="BL292" s="28"/>
    </row>
    <row r="293" spans="1:14" ht="51" customHeight="1">
      <c r="A293" s="4"/>
      <c r="B293" s="13" t="s">
        <v>144</v>
      </c>
      <c r="C293" s="115" t="s">
        <v>557</v>
      </c>
      <c r="D293" s="116"/>
      <c r="E293" s="116"/>
      <c r="F293" s="116"/>
      <c r="G293" s="116"/>
      <c r="H293" s="116"/>
      <c r="I293" s="116"/>
      <c r="J293" s="116"/>
      <c r="K293" s="116"/>
      <c r="L293" s="116"/>
      <c r="M293" s="117"/>
      <c r="N293" s="4"/>
    </row>
    <row r="294" spans="1:14" s="86" customFormat="1" ht="12">
      <c r="A294" s="84"/>
      <c r="B294" s="85" t="s">
        <v>139</v>
      </c>
      <c r="C294" s="103" t="s">
        <v>558</v>
      </c>
      <c r="D294" s="104"/>
      <c r="E294" s="104"/>
      <c r="F294" s="104"/>
      <c r="G294" s="104"/>
      <c r="H294" s="104"/>
      <c r="I294" s="104"/>
      <c r="J294" s="104"/>
      <c r="K294" s="104"/>
      <c r="L294" s="104"/>
      <c r="M294" s="105"/>
      <c r="N294" s="84"/>
    </row>
    <row r="295" spans="1:64" ht="12.75">
      <c r="A295" s="81" t="s">
        <v>127</v>
      </c>
      <c r="B295" s="81" t="s">
        <v>276</v>
      </c>
      <c r="C295" s="118" t="s">
        <v>559</v>
      </c>
      <c r="D295" s="114"/>
      <c r="E295" s="114"/>
      <c r="F295" s="119"/>
      <c r="G295" s="81" t="s">
        <v>597</v>
      </c>
      <c r="H295" s="82">
        <v>1</v>
      </c>
      <c r="I295" s="97">
        <v>0</v>
      </c>
      <c r="J295" s="82">
        <f>H295*AO295</f>
        <v>0</v>
      </c>
      <c r="K295" s="82">
        <f>H295*AP295</f>
        <v>0</v>
      </c>
      <c r="L295" s="82">
        <f>H295*I295</f>
        <v>0</v>
      </c>
      <c r="M295" s="83" t="s">
        <v>618</v>
      </c>
      <c r="N295" s="63"/>
      <c r="Z295" s="28">
        <f>IF(AQ295="5",BJ295,0)</f>
        <v>0</v>
      </c>
      <c r="AB295" s="28">
        <f>IF(AQ295="1",BH295,0)</f>
        <v>0</v>
      </c>
      <c r="AC295" s="28">
        <f>IF(AQ295="1",BI295,0)</f>
        <v>0</v>
      </c>
      <c r="AD295" s="28">
        <f>IF(AQ295="7",BH295,0)</f>
        <v>0</v>
      </c>
      <c r="AE295" s="28">
        <f>IF(AQ295="7",BI295,0)</f>
        <v>0</v>
      </c>
      <c r="AF295" s="28">
        <f>IF(AQ295="2",BH295,0)</f>
        <v>0</v>
      </c>
      <c r="AG295" s="28">
        <f>IF(AQ295="2",BI295,0)</f>
        <v>0</v>
      </c>
      <c r="AH295" s="28">
        <f>IF(AQ295="0",BJ295,0)</f>
        <v>0</v>
      </c>
      <c r="AI295" s="27"/>
      <c r="AJ295" s="18">
        <f>IF(AN295=0,L295,0)</f>
        <v>0</v>
      </c>
      <c r="AK295" s="18">
        <f>IF(AN295=15,L295,0)</f>
        <v>0</v>
      </c>
      <c r="AL295" s="18">
        <f>IF(AN295=21,L295,0)</f>
        <v>0</v>
      </c>
      <c r="AN295" s="28">
        <v>21</v>
      </c>
      <c r="AO295" s="28">
        <f>I295*1</f>
        <v>0</v>
      </c>
      <c r="AP295" s="28">
        <f>I295*(1-1)</f>
        <v>0</v>
      </c>
      <c r="AQ295" s="30" t="s">
        <v>628</v>
      </c>
      <c r="AV295" s="28">
        <f>AW295+AX295</f>
        <v>0</v>
      </c>
      <c r="AW295" s="28">
        <f>H295*AO295</f>
        <v>0</v>
      </c>
      <c r="AX295" s="28">
        <f>H295*AP295</f>
        <v>0</v>
      </c>
      <c r="AY295" s="31" t="s">
        <v>655</v>
      </c>
      <c r="AZ295" s="31" t="s">
        <v>667</v>
      </c>
      <c r="BA295" s="27" t="s">
        <v>669</v>
      </c>
      <c r="BC295" s="28">
        <f>AW295+AX295</f>
        <v>0</v>
      </c>
      <c r="BD295" s="28">
        <f>I295/(100-BE295)*100</f>
        <v>0</v>
      </c>
      <c r="BE295" s="28">
        <v>0</v>
      </c>
      <c r="BF295" s="28">
        <f>295</f>
        <v>295</v>
      </c>
      <c r="BH295" s="18">
        <f>H295*AO295</f>
        <v>0</v>
      </c>
      <c r="BI295" s="18">
        <f>H295*AP295</f>
        <v>0</v>
      </c>
      <c r="BJ295" s="18">
        <f>H295*I295</f>
        <v>0</v>
      </c>
      <c r="BK295" s="18" t="s">
        <v>675</v>
      </c>
      <c r="BL295" s="28"/>
    </row>
    <row r="296" spans="1:14" ht="51" customHeight="1">
      <c r="A296" s="4"/>
      <c r="B296" s="13" t="s">
        <v>144</v>
      </c>
      <c r="C296" s="115" t="s">
        <v>557</v>
      </c>
      <c r="D296" s="116"/>
      <c r="E296" s="116"/>
      <c r="F296" s="116"/>
      <c r="G296" s="116"/>
      <c r="H296" s="116"/>
      <c r="I296" s="116"/>
      <c r="J296" s="116"/>
      <c r="K296" s="116"/>
      <c r="L296" s="116"/>
      <c r="M296" s="117"/>
      <c r="N296" s="4"/>
    </row>
    <row r="297" spans="1:14" s="86" customFormat="1" ht="12">
      <c r="A297" s="84"/>
      <c r="B297" s="85" t="s">
        <v>139</v>
      </c>
      <c r="C297" s="103" t="s">
        <v>560</v>
      </c>
      <c r="D297" s="104"/>
      <c r="E297" s="104"/>
      <c r="F297" s="104"/>
      <c r="G297" s="104"/>
      <c r="H297" s="104"/>
      <c r="I297" s="104"/>
      <c r="J297" s="104"/>
      <c r="K297" s="104"/>
      <c r="L297" s="104"/>
      <c r="M297" s="105"/>
      <c r="N297" s="84"/>
    </row>
    <row r="298" spans="1:64" ht="12.75">
      <c r="A298" s="81" t="s">
        <v>128</v>
      </c>
      <c r="B298" s="81" t="s">
        <v>277</v>
      </c>
      <c r="C298" s="118" t="s">
        <v>561</v>
      </c>
      <c r="D298" s="114"/>
      <c r="E298" s="114"/>
      <c r="F298" s="119"/>
      <c r="G298" s="81" t="s">
        <v>597</v>
      </c>
      <c r="H298" s="82">
        <v>2</v>
      </c>
      <c r="I298" s="97">
        <v>0</v>
      </c>
      <c r="J298" s="82">
        <f>H298*AO298</f>
        <v>0</v>
      </c>
      <c r="K298" s="82">
        <f>H298*AP298</f>
        <v>0</v>
      </c>
      <c r="L298" s="82">
        <f>H298*I298</f>
        <v>0</v>
      </c>
      <c r="M298" s="83" t="s">
        <v>618</v>
      </c>
      <c r="N298" s="63"/>
      <c r="Z298" s="28">
        <f>IF(AQ298="5",BJ298,0)</f>
        <v>0</v>
      </c>
      <c r="AB298" s="28">
        <f>IF(AQ298="1",BH298,0)</f>
        <v>0</v>
      </c>
      <c r="AC298" s="28">
        <f>IF(AQ298="1",BI298,0)</f>
        <v>0</v>
      </c>
      <c r="AD298" s="28">
        <f>IF(AQ298="7",BH298,0)</f>
        <v>0</v>
      </c>
      <c r="AE298" s="28">
        <f>IF(AQ298="7",BI298,0)</f>
        <v>0</v>
      </c>
      <c r="AF298" s="28">
        <f>IF(AQ298="2",BH298,0)</f>
        <v>0</v>
      </c>
      <c r="AG298" s="28">
        <f>IF(AQ298="2",BI298,0)</f>
        <v>0</v>
      </c>
      <c r="AH298" s="28">
        <f>IF(AQ298="0",BJ298,0)</f>
        <v>0</v>
      </c>
      <c r="AI298" s="27"/>
      <c r="AJ298" s="18">
        <f>IF(AN298=0,L298,0)</f>
        <v>0</v>
      </c>
      <c r="AK298" s="18">
        <f>IF(AN298=15,L298,0)</f>
        <v>0</v>
      </c>
      <c r="AL298" s="18">
        <f>IF(AN298=21,L298,0)</f>
        <v>0</v>
      </c>
      <c r="AN298" s="28">
        <v>21</v>
      </c>
      <c r="AO298" s="28">
        <f>I298*1</f>
        <v>0</v>
      </c>
      <c r="AP298" s="28">
        <f>I298*(1-1)</f>
        <v>0</v>
      </c>
      <c r="AQ298" s="30" t="s">
        <v>628</v>
      </c>
      <c r="AV298" s="28">
        <f>AW298+AX298</f>
        <v>0</v>
      </c>
      <c r="AW298" s="28">
        <f>H298*AO298</f>
        <v>0</v>
      </c>
      <c r="AX298" s="28">
        <f>H298*AP298</f>
        <v>0</v>
      </c>
      <c r="AY298" s="31" t="s">
        <v>655</v>
      </c>
      <c r="AZ298" s="31" t="s">
        <v>667</v>
      </c>
      <c r="BA298" s="27" t="s">
        <v>669</v>
      </c>
      <c r="BC298" s="28">
        <f>AW298+AX298</f>
        <v>0</v>
      </c>
      <c r="BD298" s="28">
        <f>I298/(100-BE298)*100</f>
        <v>0</v>
      </c>
      <c r="BE298" s="28">
        <v>0</v>
      </c>
      <c r="BF298" s="28">
        <f>298</f>
        <v>298</v>
      </c>
      <c r="BH298" s="18">
        <f>H298*AO298</f>
        <v>0</v>
      </c>
      <c r="BI298" s="18">
        <f>H298*AP298</f>
        <v>0</v>
      </c>
      <c r="BJ298" s="18">
        <f>H298*I298</f>
        <v>0</v>
      </c>
      <c r="BK298" s="18" t="s">
        <v>675</v>
      </c>
      <c r="BL298" s="28"/>
    </row>
    <row r="299" spans="1:14" ht="12.75">
      <c r="A299" s="4"/>
      <c r="B299" s="13" t="s">
        <v>144</v>
      </c>
      <c r="C299" s="115" t="s">
        <v>562</v>
      </c>
      <c r="D299" s="116"/>
      <c r="E299" s="116"/>
      <c r="F299" s="116"/>
      <c r="G299" s="116"/>
      <c r="H299" s="116"/>
      <c r="I299" s="116"/>
      <c r="J299" s="116"/>
      <c r="K299" s="116"/>
      <c r="L299" s="116"/>
      <c r="M299" s="117"/>
      <c r="N299" s="4"/>
    </row>
    <row r="300" spans="1:64" ht="12.75">
      <c r="A300" s="81" t="s">
        <v>129</v>
      </c>
      <c r="B300" s="81" t="s">
        <v>278</v>
      </c>
      <c r="C300" s="118" t="s">
        <v>563</v>
      </c>
      <c r="D300" s="114"/>
      <c r="E300" s="114"/>
      <c r="F300" s="119"/>
      <c r="G300" s="81" t="s">
        <v>597</v>
      </c>
      <c r="H300" s="82">
        <v>5</v>
      </c>
      <c r="I300" s="97">
        <v>0</v>
      </c>
      <c r="J300" s="82">
        <f>H300*AO300</f>
        <v>0</v>
      </c>
      <c r="K300" s="82">
        <f>H300*AP300</f>
        <v>0</v>
      </c>
      <c r="L300" s="82">
        <f>H300*I300</f>
        <v>0</v>
      </c>
      <c r="M300" s="83" t="s">
        <v>618</v>
      </c>
      <c r="N300" s="63"/>
      <c r="Z300" s="28">
        <f>IF(AQ300="5",BJ300,0)</f>
        <v>0</v>
      </c>
      <c r="AB300" s="28">
        <f>IF(AQ300="1",BH300,0)</f>
        <v>0</v>
      </c>
      <c r="AC300" s="28">
        <f>IF(AQ300="1",BI300,0)</f>
        <v>0</v>
      </c>
      <c r="AD300" s="28">
        <f>IF(AQ300="7",BH300,0)</f>
        <v>0</v>
      </c>
      <c r="AE300" s="28">
        <f>IF(AQ300="7",BI300,0)</f>
        <v>0</v>
      </c>
      <c r="AF300" s="28">
        <f>IF(AQ300="2",BH300,0)</f>
        <v>0</v>
      </c>
      <c r="AG300" s="28">
        <f>IF(AQ300="2",BI300,0)</f>
        <v>0</v>
      </c>
      <c r="AH300" s="28">
        <f>IF(AQ300="0",BJ300,0)</f>
        <v>0</v>
      </c>
      <c r="AI300" s="27"/>
      <c r="AJ300" s="18">
        <f>IF(AN300=0,L300,0)</f>
        <v>0</v>
      </c>
      <c r="AK300" s="18">
        <f>IF(AN300=15,L300,0)</f>
        <v>0</v>
      </c>
      <c r="AL300" s="18">
        <f>IF(AN300=21,L300,0)</f>
        <v>0</v>
      </c>
      <c r="AN300" s="28">
        <v>21</v>
      </c>
      <c r="AO300" s="28">
        <f>I300*1</f>
        <v>0</v>
      </c>
      <c r="AP300" s="28">
        <f>I300*(1-1)</f>
        <v>0</v>
      </c>
      <c r="AQ300" s="30" t="s">
        <v>628</v>
      </c>
      <c r="AV300" s="28">
        <f>AW300+AX300</f>
        <v>0</v>
      </c>
      <c r="AW300" s="28">
        <f>H300*AO300</f>
        <v>0</v>
      </c>
      <c r="AX300" s="28">
        <f>H300*AP300</f>
        <v>0</v>
      </c>
      <c r="AY300" s="31" t="s">
        <v>655</v>
      </c>
      <c r="AZ300" s="31" t="s">
        <v>667</v>
      </c>
      <c r="BA300" s="27" t="s">
        <v>669</v>
      </c>
      <c r="BC300" s="28">
        <f>AW300+AX300</f>
        <v>0</v>
      </c>
      <c r="BD300" s="28">
        <f>I300/(100-BE300)*100</f>
        <v>0</v>
      </c>
      <c r="BE300" s="28">
        <v>0</v>
      </c>
      <c r="BF300" s="28">
        <f>300</f>
        <v>300</v>
      </c>
      <c r="BH300" s="18">
        <f>H300*AO300</f>
        <v>0</v>
      </c>
      <c r="BI300" s="18">
        <f>H300*AP300</f>
        <v>0</v>
      </c>
      <c r="BJ300" s="18">
        <f>H300*I300</f>
        <v>0</v>
      </c>
      <c r="BK300" s="18" t="s">
        <v>675</v>
      </c>
      <c r="BL300" s="28"/>
    </row>
    <row r="301" spans="1:14" ht="12.75">
      <c r="A301" s="4"/>
      <c r="B301" s="13" t="s">
        <v>144</v>
      </c>
      <c r="C301" s="115" t="s">
        <v>564</v>
      </c>
      <c r="D301" s="116"/>
      <c r="E301" s="116"/>
      <c r="F301" s="116"/>
      <c r="G301" s="116"/>
      <c r="H301" s="116"/>
      <c r="I301" s="116"/>
      <c r="J301" s="116"/>
      <c r="K301" s="116"/>
      <c r="L301" s="116"/>
      <c r="M301" s="117"/>
      <c r="N301" s="4"/>
    </row>
    <row r="302" spans="1:64" ht="12.75">
      <c r="A302" s="5" t="s">
        <v>130</v>
      </c>
      <c r="B302" s="14" t="s">
        <v>279</v>
      </c>
      <c r="C302" s="113" t="s">
        <v>565</v>
      </c>
      <c r="D302" s="114"/>
      <c r="E302" s="114"/>
      <c r="F302" s="114"/>
      <c r="G302" s="14" t="s">
        <v>594</v>
      </c>
      <c r="H302" s="18">
        <v>100</v>
      </c>
      <c r="I302" s="96">
        <v>0</v>
      </c>
      <c r="J302" s="18">
        <f>H302*AO302</f>
        <v>0</v>
      </c>
      <c r="K302" s="18">
        <f>H302*AP302</f>
        <v>0</v>
      </c>
      <c r="L302" s="18">
        <f>H302*I302</f>
        <v>0</v>
      </c>
      <c r="M302" s="25" t="s">
        <v>618</v>
      </c>
      <c r="N302" s="4"/>
      <c r="Z302" s="28">
        <f>IF(AQ302="5",BJ302,0)</f>
        <v>0</v>
      </c>
      <c r="AB302" s="28">
        <f>IF(AQ302="1",BH302,0)</f>
        <v>0</v>
      </c>
      <c r="AC302" s="28">
        <f>IF(AQ302="1",BI302,0)</f>
        <v>0</v>
      </c>
      <c r="AD302" s="28">
        <f>IF(AQ302="7",BH302,0)</f>
        <v>0</v>
      </c>
      <c r="AE302" s="28">
        <f>IF(AQ302="7",BI302,0)</f>
        <v>0</v>
      </c>
      <c r="AF302" s="28">
        <f>IF(AQ302="2",BH302,0)</f>
        <v>0</v>
      </c>
      <c r="AG302" s="28">
        <f>IF(AQ302="2",BI302,0)</f>
        <v>0</v>
      </c>
      <c r="AH302" s="28">
        <f>IF(AQ302="0",BJ302,0)</f>
        <v>0</v>
      </c>
      <c r="AI302" s="27"/>
      <c r="AJ302" s="18">
        <f>IF(AN302=0,L302,0)</f>
        <v>0</v>
      </c>
      <c r="AK302" s="18">
        <f>IF(AN302=15,L302,0)</f>
        <v>0</v>
      </c>
      <c r="AL302" s="18">
        <f>IF(AN302=21,L302,0)</f>
        <v>0</v>
      </c>
      <c r="AN302" s="28">
        <v>21</v>
      </c>
      <c r="AO302" s="28">
        <f>I302*1</f>
        <v>0</v>
      </c>
      <c r="AP302" s="28">
        <f>I302*(1-1)</f>
        <v>0</v>
      </c>
      <c r="AQ302" s="30" t="s">
        <v>628</v>
      </c>
      <c r="AV302" s="28">
        <f>AW302+AX302</f>
        <v>0</v>
      </c>
      <c r="AW302" s="28">
        <f>H302*AO302</f>
        <v>0</v>
      </c>
      <c r="AX302" s="28">
        <f>H302*AP302</f>
        <v>0</v>
      </c>
      <c r="AY302" s="31" t="s">
        <v>655</v>
      </c>
      <c r="AZ302" s="31" t="s">
        <v>667</v>
      </c>
      <c r="BA302" s="27" t="s">
        <v>669</v>
      </c>
      <c r="BC302" s="28">
        <f>AW302+AX302</f>
        <v>0</v>
      </c>
      <c r="BD302" s="28">
        <f>I302/(100-BE302)*100</f>
        <v>0</v>
      </c>
      <c r="BE302" s="28">
        <v>0</v>
      </c>
      <c r="BF302" s="28">
        <f>302</f>
        <v>302</v>
      </c>
      <c r="BH302" s="18">
        <f>H302*AO302</f>
        <v>0</v>
      </c>
      <c r="BI302" s="18">
        <f>H302*AP302</f>
        <v>0</v>
      </c>
      <c r="BJ302" s="18">
        <f>H302*I302</f>
        <v>0</v>
      </c>
      <c r="BK302" s="18" t="s">
        <v>675</v>
      </c>
      <c r="BL302" s="28"/>
    </row>
    <row r="303" spans="1:14" ht="25.5" customHeight="1">
      <c r="A303" s="4"/>
      <c r="B303" s="13" t="s">
        <v>144</v>
      </c>
      <c r="C303" s="115" t="s">
        <v>566</v>
      </c>
      <c r="D303" s="116"/>
      <c r="E303" s="116"/>
      <c r="F303" s="116"/>
      <c r="G303" s="116"/>
      <c r="H303" s="116"/>
      <c r="I303" s="116"/>
      <c r="J303" s="116"/>
      <c r="K303" s="116"/>
      <c r="L303" s="116"/>
      <c r="M303" s="117"/>
      <c r="N303" s="4"/>
    </row>
    <row r="304" spans="1:64" ht="12.75">
      <c r="A304" s="5" t="s">
        <v>131</v>
      </c>
      <c r="B304" s="14" t="s">
        <v>280</v>
      </c>
      <c r="C304" s="113" t="s">
        <v>567</v>
      </c>
      <c r="D304" s="114"/>
      <c r="E304" s="114"/>
      <c r="F304" s="114"/>
      <c r="G304" s="14" t="s">
        <v>597</v>
      </c>
      <c r="H304" s="18">
        <v>3</v>
      </c>
      <c r="I304" s="96">
        <v>0</v>
      </c>
      <c r="J304" s="18">
        <f>H304*AO304</f>
        <v>0</v>
      </c>
      <c r="K304" s="18">
        <f>H304*AP304</f>
        <v>0</v>
      </c>
      <c r="L304" s="18">
        <f>H304*I304</f>
        <v>0</v>
      </c>
      <c r="M304" s="25" t="s">
        <v>618</v>
      </c>
      <c r="N304" s="4"/>
      <c r="Z304" s="28">
        <f>IF(AQ304="5",BJ304,0)</f>
        <v>0</v>
      </c>
      <c r="AB304" s="28">
        <f>IF(AQ304="1",BH304,0)</f>
        <v>0</v>
      </c>
      <c r="AC304" s="28">
        <f>IF(AQ304="1",BI304,0)</f>
        <v>0</v>
      </c>
      <c r="AD304" s="28">
        <f>IF(AQ304="7",BH304,0)</f>
        <v>0</v>
      </c>
      <c r="AE304" s="28">
        <f>IF(AQ304="7",BI304,0)</f>
        <v>0</v>
      </c>
      <c r="AF304" s="28">
        <f>IF(AQ304="2",BH304,0)</f>
        <v>0</v>
      </c>
      <c r="AG304" s="28">
        <f>IF(AQ304="2",BI304,0)</f>
        <v>0</v>
      </c>
      <c r="AH304" s="28">
        <f>IF(AQ304="0",BJ304,0)</f>
        <v>0</v>
      </c>
      <c r="AI304" s="27"/>
      <c r="AJ304" s="18">
        <f>IF(AN304=0,L304,0)</f>
        <v>0</v>
      </c>
      <c r="AK304" s="18">
        <f>IF(AN304=15,L304,0)</f>
        <v>0</v>
      </c>
      <c r="AL304" s="18">
        <f>IF(AN304=21,L304,0)</f>
        <v>0</v>
      </c>
      <c r="AN304" s="28">
        <v>21</v>
      </c>
      <c r="AO304" s="28">
        <f>I304*1</f>
        <v>0</v>
      </c>
      <c r="AP304" s="28">
        <f>I304*(1-1)</f>
        <v>0</v>
      </c>
      <c r="AQ304" s="30" t="s">
        <v>628</v>
      </c>
      <c r="AV304" s="28">
        <f>AW304+AX304</f>
        <v>0</v>
      </c>
      <c r="AW304" s="28">
        <f>H304*AO304</f>
        <v>0</v>
      </c>
      <c r="AX304" s="28">
        <f>H304*AP304</f>
        <v>0</v>
      </c>
      <c r="AY304" s="31" t="s">
        <v>655</v>
      </c>
      <c r="AZ304" s="31" t="s">
        <v>667</v>
      </c>
      <c r="BA304" s="27" t="s">
        <v>669</v>
      </c>
      <c r="BC304" s="28">
        <f>AW304+AX304</f>
        <v>0</v>
      </c>
      <c r="BD304" s="28">
        <f>I304/(100-BE304)*100</f>
        <v>0</v>
      </c>
      <c r="BE304" s="28">
        <v>0</v>
      </c>
      <c r="BF304" s="28">
        <f>304</f>
        <v>304</v>
      </c>
      <c r="BH304" s="18">
        <f>H304*AO304</f>
        <v>0</v>
      </c>
      <c r="BI304" s="18">
        <f>H304*AP304</f>
        <v>0</v>
      </c>
      <c r="BJ304" s="18">
        <f>H304*I304</f>
        <v>0</v>
      </c>
      <c r="BK304" s="18" t="s">
        <v>675</v>
      </c>
      <c r="BL304" s="28"/>
    </row>
    <row r="305" spans="1:14" ht="12.75">
      <c r="A305" s="4"/>
      <c r="B305" s="13" t="s">
        <v>144</v>
      </c>
      <c r="C305" s="115" t="s">
        <v>568</v>
      </c>
      <c r="D305" s="116"/>
      <c r="E305" s="116"/>
      <c r="F305" s="116"/>
      <c r="G305" s="116"/>
      <c r="H305" s="116"/>
      <c r="I305" s="116"/>
      <c r="J305" s="116"/>
      <c r="K305" s="116"/>
      <c r="L305" s="116"/>
      <c r="M305" s="117"/>
      <c r="N305" s="4"/>
    </row>
    <row r="306" spans="1:14" s="86" customFormat="1" ht="12">
      <c r="A306" s="84"/>
      <c r="B306" s="85" t="s">
        <v>139</v>
      </c>
      <c r="C306" s="103" t="s">
        <v>569</v>
      </c>
      <c r="D306" s="104"/>
      <c r="E306" s="104"/>
      <c r="F306" s="104"/>
      <c r="G306" s="104"/>
      <c r="H306" s="104"/>
      <c r="I306" s="104"/>
      <c r="J306" s="104"/>
      <c r="K306" s="104"/>
      <c r="L306" s="104"/>
      <c r="M306" s="105"/>
      <c r="N306" s="84"/>
    </row>
    <row r="307" spans="1:64" ht="12.75">
      <c r="A307" s="5" t="s">
        <v>132</v>
      </c>
      <c r="B307" s="14" t="s">
        <v>281</v>
      </c>
      <c r="C307" s="113" t="s">
        <v>570</v>
      </c>
      <c r="D307" s="114"/>
      <c r="E307" s="114"/>
      <c r="F307" s="114"/>
      <c r="G307" s="14" t="s">
        <v>597</v>
      </c>
      <c r="H307" s="18">
        <v>2</v>
      </c>
      <c r="I307" s="96">
        <v>0</v>
      </c>
      <c r="J307" s="18">
        <f>H307*AO307</f>
        <v>0</v>
      </c>
      <c r="K307" s="18">
        <f>H307*AP307</f>
        <v>0</v>
      </c>
      <c r="L307" s="18">
        <f>H307*I307</f>
        <v>0</v>
      </c>
      <c r="M307" s="25" t="s">
        <v>618</v>
      </c>
      <c r="N307" s="4"/>
      <c r="Z307" s="28">
        <f>IF(AQ307="5",BJ307,0)</f>
        <v>0</v>
      </c>
      <c r="AB307" s="28">
        <f>IF(AQ307="1",BH307,0)</f>
        <v>0</v>
      </c>
      <c r="AC307" s="28">
        <f>IF(AQ307="1",BI307,0)</f>
        <v>0</v>
      </c>
      <c r="AD307" s="28">
        <f>IF(AQ307="7",BH307,0)</f>
        <v>0</v>
      </c>
      <c r="AE307" s="28">
        <f>IF(AQ307="7",BI307,0)</f>
        <v>0</v>
      </c>
      <c r="AF307" s="28">
        <f>IF(AQ307="2",BH307,0)</f>
        <v>0</v>
      </c>
      <c r="AG307" s="28">
        <f>IF(AQ307="2",BI307,0)</f>
        <v>0</v>
      </c>
      <c r="AH307" s="28">
        <f>IF(AQ307="0",BJ307,0)</f>
        <v>0</v>
      </c>
      <c r="AI307" s="27"/>
      <c r="AJ307" s="18">
        <f>IF(AN307=0,L307,0)</f>
        <v>0</v>
      </c>
      <c r="AK307" s="18">
        <f>IF(AN307=15,L307,0)</f>
        <v>0</v>
      </c>
      <c r="AL307" s="18">
        <f>IF(AN307=21,L307,0)</f>
        <v>0</v>
      </c>
      <c r="AN307" s="28">
        <v>21</v>
      </c>
      <c r="AO307" s="28">
        <f>I307*1</f>
        <v>0</v>
      </c>
      <c r="AP307" s="28">
        <f>I307*(1-1)</f>
        <v>0</v>
      </c>
      <c r="AQ307" s="30" t="s">
        <v>628</v>
      </c>
      <c r="AV307" s="28">
        <f>AW307+AX307</f>
        <v>0</v>
      </c>
      <c r="AW307" s="28">
        <f>H307*AO307</f>
        <v>0</v>
      </c>
      <c r="AX307" s="28">
        <f>H307*AP307</f>
        <v>0</v>
      </c>
      <c r="AY307" s="31" t="s">
        <v>655</v>
      </c>
      <c r="AZ307" s="31" t="s">
        <v>667</v>
      </c>
      <c r="BA307" s="27" t="s">
        <v>669</v>
      </c>
      <c r="BC307" s="28">
        <f>AW307+AX307</f>
        <v>0</v>
      </c>
      <c r="BD307" s="28">
        <f>I307/(100-BE307)*100</f>
        <v>0</v>
      </c>
      <c r="BE307" s="28">
        <v>0</v>
      </c>
      <c r="BF307" s="28">
        <f>307</f>
        <v>307</v>
      </c>
      <c r="BH307" s="18">
        <f>H307*AO307</f>
        <v>0</v>
      </c>
      <c r="BI307" s="18">
        <f>H307*AP307</f>
        <v>0</v>
      </c>
      <c r="BJ307" s="18">
        <f>H307*I307</f>
        <v>0</v>
      </c>
      <c r="BK307" s="18" t="s">
        <v>675</v>
      </c>
      <c r="BL307" s="28"/>
    </row>
    <row r="308" spans="1:14" ht="12.75">
      <c r="A308" s="4"/>
      <c r="B308" s="13" t="s">
        <v>144</v>
      </c>
      <c r="C308" s="115" t="s">
        <v>568</v>
      </c>
      <c r="D308" s="116"/>
      <c r="E308" s="116"/>
      <c r="F308" s="116"/>
      <c r="G308" s="116"/>
      <c r="H308" s="116"/>
      <c r="I308" s="116"/>
      <c r="J308" s="116"/>
      <c r="K308" s="116"/>
      <c r="L308" s="116"/>
      <c r="M308" s="117"/>
      <c r="N308" s="4"/>
    </row>
    <row r="309" spans="1:14" s="86" customFormat="1" ht="12">
      <c r="A309" s="84"/>
      <c r="B309" s="85" t="s">
        <v>139</v>
      </c>
      <c r="C309" s="103" t="s">
        <v>571</v>
      </c>
      <c r="D309" s="104"/>
      <c r="E309" s="104"/>
      <c r="F309" s="104"/>
      <c r="G309" s="104"/>
      <c r="H309" s="104"/>
      <c r="I309" s="104"/>
      <c r="J309" s="104"/>
      <c r="K309" s="104"/>
      <c r="L309" s="104"/>
      <c r="M309" s="105"/>
      <c r="N309" s="84"/>
    </row>
    <row r="310" spans="1:64" ht="12.75">
      <c r="A310" s="5" t="s">
        <v>133</v>
      </c>
      <c r="B310" s="14" t="s">
        <v>282</v>
      </c>
      <c r="C310" s="113" t="s">
        <v>572</v>
      </c>
      <c r="D310" s="114"/>
      <c r="E310" s="114"/>
      <c r="F310" s="114"/>
      <c r="G310" s="14" t="s">
        <v>597</v>
      </c>
      <c r="H310" s="18">
        <v>3</v>
      </c>
      <c r="I310" s="96">
        <v>0</v>
      </c>
      <c r="J310" s="18">
        <f>H310*AO310</f>
        <v>0</v>
      </c>
      <c r="K310" s="18">
        <f>H310*AP310</f>
        <v>0</v>
      </c>
      <c r="L310" s="18">
        <f>H310*I310</f>
        <v>0</v>
      </c>
      <c r="M310" s="25" t="s">
        <v>618</v>
      </c>
      <c r="N310" s="4"/>
      <c r="Z310" s="28">
        <f>IF(AQ310="5",BJ310,0)</f>
        <v>0</v>
      </c>
      <c r="AB310" s="28">
        <f>IF(AQ310="1",BH310,0)</f>
        <v>0</v>
      </c>
      <c r="AC310" s="28">
        <f>IF(AQ310="1",BI310,0)</f>
        <v>0</v>
      </c>
      <c r="AD310" s="28">
        <f>IF(AQ310="7",BH310,0)</f>
        <v>0</v>
      </c>
      <c r="AE310" s="28">
        <f>IF(AQ310="7",BI310,0)</f>
        <v>0</v>
      </c>
      <c r="AF310" s="28">
        <f>IF(AQ310="2",BH310,0)</f>
        <v>0</v>
      </c>
      <c r="AG310" s="28">
        <f>IF(AQ310="2",BI310,0)</f>
        <v>0</v>
      </c>
      <c r="AH310" s="28">
        <f>IF(AQ310="0",BJ310,0)</f>
        <v>0</v>
      </c>
      <c r="AI310" s="27"/>
      <c r="AJ310" s="18">
        <f>IF(AN310=0,L310,0)</f>
        <v>0</v>
      </c>
      <c r="AK310" s="18">
        <f>IF(AN310=15,L310,0)</f>
        <v>0</v>
      </c>
      <c r="AL310" s="18">
        <f>IF(AN310=21,L310,0)</f>
        <v>0</v>
      </c>
      <c r="AN310" s="28">
        <v>21</v>
      </c>
      <c r="AO310" s="28">
        <f>I310*1</f>
        <v>0</v>
      </c>
      <c r="AP310" s="28">
        <f>I310*(1-1)</f>
        <v>0</v>
      </c>
      <c r="AQ310" s="30" t="s">
        <v>628</v>
      </c>
      <c r="AV310" s="28">
        <f>AW310+AX310</f>
        <v>0</v>
      </c>
      <c r="AW310" s="28">
        <f>H310*AO310</f>
        <v>0</v>
      </c>
      <c r="AX310" s="28">
        <f>H310*AP310</f>
        <v>0</v>
      </c>
      <c r="AY310" s="31" t="s">
        <v>655</v>
      </c>
      <c r="AZ310" s="31" t="s">
        <v>667</v>
      </c>
      <c r="BA310" s="27" t="s">
        <v>669</v>
      </c>
      <c r="BC310" s="28">
        <f>AW310+AX310</f>
        <v>0</v>
      </c>
      <c r="BD310" s="28">
        <f>I310/(100-BE310)*100</f>
        <v>0</v>
      </c>
      <c r="BE310" s="28">
        <v>0</v>
      </c>
      <c r="BF310" s="28">
        <f>310</f>
        <v>310</v>
      </c>
      <c r="BH310" s="18">
        <f>H310*AO310</f>
        <v>0</v>
      </c>
      <c r="BI310" s="18">
        <f>H310*AP310</f>
        <v>0</v>
      </c>
      <c r="BJ310" s="18">
        <f>H310*I310</f>
        <v>0</v>
      </c>
      <c r="BK310" s="18" t="s">
        <v>675</v>
      </c>
      <c r="BL310" s="28"/>
    </row>
    <row r="311" spans="1:14" ht="12.75">
      <c r="A311" s="4"/>
      <c r="B311" s="13" t="s">
        <v>144</v>
      </c>
      <c r="C311" s="115" t="s">
        <v>573</v>
      </c>
      <c r="D311" s="116"/>
      <c r="E311" s="116"/>
      <c r="F311" s="116"/>
      <c r="G311" s="116"/>
      <c r="H311" s="116"/>
      <c r="I311" s="116"/>
      <c r="J311" s="116"/>
      <c r="K311" s="116"/>
      <c r="L311" s="116"/>
      <c r="M311" s="117"/>
      <c r="N311" s="4"/>
    </row>
    <row r="312" spans="1:14" s="86" customFormat="1" ht="12">
      <c r="A312" s="84"/>
      <c r="B312" s="85" t="s">
        <v>139</v>
      </c>
      <c r="C312" s="103" t="s">
        <v>574</v>
      </c>
      <c r="D312" s="104"/>
      <c r="E312" s="104"/>
      <c r="F312" s="104"/>
      <c r="G312" s="104"/>
      <c r="H312" s="104"/>
      <c r="I312" s="104"/>
      <c r="J312" s="104"/>
      <c r="K312" s="104"/>
      <c r="L312" s="104"/>
      <c r="M312" s="105"/>
      <c r="N312" s="84"/>
    </row>
    <row r="313" spans="1:64" ht="12.75">
      <c r="A313" s="5" t="s">
        <v>134</v>
      </c>
      <c r="B313" s="14" t="s">
        <v>283</v>
      </c>
      <c r="C313" s="113" t="s">
        <v>575</v>
      </c>
      <c r="D313" s="114"/>
      <c r="E313" s="114"/>
      <c r="F313" s="114"/>
      <c r="G313" s="14" t="s">
        <v>597</v>
      </c>
      <c r="H313" s="18">
        <v>2</v>
      </c>
      <c r="I313" s="96">
        <v>0</v>
      </c>
      <c r="J313" s="18">
        <f>H313*AO313</f>
        <v>0</v>
      </c>
      <c r="K313" s="18">
        <f>H313*AP313</f>
        <v>0</v>
      </c>
      <c r="L313" s="18">
        <f>H313*I313</f>
        <v>0</v>
      </c>
      <c r="M313" s="25" t="s">
        <v>618</v>
      </c>
      <c r="N313" s="4"/>
      <c r="Z313" s="28">
        <f>IF(AQ313="5",BJ313,0)</f>
        <v>0</v>
      </c>
      <c r="AB313" s="28">
        <f>IF(AQ313="1",BH313,0)</f>
        <v>0</v>
      </c>
      <c r="AC313" s="28">
        <f>IF(AQ313="1",BI313,0)</f>
        <v>0</v>
      </c>
      <c r="AD313" s="28">
        <f>IF(AQ313="7",BH313,0)</f>
        <v>0</v>
      </c>
      <c r="AE313" s="28">
        <f>IF(AQ313="7",BI313,0)</f>
        <v>0</v>
      </c>
      <c r="AF313" s="28">
        <f>IF(AQ313="2",BH313,0)</f>
        <v>0</v>
      </c>
      <c r="AG313" s="28">
        <f>IF(AQ313="2",BI313,0)</f>
        <v>0</v>
      </c>
      <c r="AH313" s="28">
        <f>IF(AQ313="0",BJ313,0)</f>
        <v>0</v>
      </c>
      <c r="AI313" s="27"/>
      <c r="AJ313" s="18">
        <f>IF(AN313=0,L313,0)</f>
        <v>0</v>
      </c>
      <c r="AK313" s="18">
        <f>IF(AN313=15,L313,0)</f>
        <v>0</v>
      </c>
      <c r="AL313" s="18">
        <f>IF(AN313=21,L313,0)</f>
        <v>0</v>
      </c>
      <c r="AN313" s="28">
        <v>21</v>
      </c>
      <c r="AO313" s="28">
        <f>I313*1</f>
        <v>0</v>
      </c>
      <c r="AP313" s="28">
        <f>I313*(1-1)</f>
        <v>0</v>
      </c>
      <c r="AQ313" s="30" t="s">
        <v>628</v>
      </c>
      <c r="AV313" s="28">
        <f>AW313+AX313</f>
        <v>0</v>
      </c>
      <c r="AW313" s="28">
        <f>H313*AO313</f>
        <v>0</v>
      </c>
      <c r="AX313" s="28">
        <f>H313*AP313</f>
        <v>0</v>
      </c>
      <c r="AY313" s="31" t="s">
        <v>655</v>
      </c>
      <c r="AZ313" s="31" t="s">
        <v>667</v>
      </c>
      <c r="BA313" s="27" t="s">
        <v>669</v>
      </c>
      <c r="BC313" s="28">
        <f>AW313+AX313</f>
        <v>0</v>
      </c>
      <c r="BD313" s="28">
        <f>I313/(100-BE313)*100</f>
        <v>0</v>
      </c>
      <c r="BE313" s="28">
        <v>0</v>
      </c>
      <c r="BF313" s="28">
        <f>313</f>
        <v>313</v>
      </c>
      <c r="BH313" s="18">
        <f>H313*AO313</f>
        <v>0</v>
      </c>
      <c r="BI313" s="18">
        <f>H313*AP313</f>
        <v>0</v>
      </c>
      <c r="BJ313" s="18">
        <f>H313*I313</f>
        <v>0</v>
      </c>
      <c r="BK313" s="18" t="s">
        <v>675</v>
      </c>
      <c r="BL313" s="28"/>
    </row>
    <row r="314" spans="1:14" ht="12.75">
      <c r="A314" s="4"/>
      <c r="B314" s="13" t="s">
        <v>144</v>
      </c>
      <c r="C314" s="115" t="s">
        <v>733</v>
      </c>
      <c r="D314" s="116"/>
      <c r="E314" s="116"/>
      <c r="F314" s="116"/>
      <c r="G314" s="116"/>
      <c r="H314" s="116"/>
      <c r="I314" s="116"/>
      <c r="J314" s="116"/>
      <c r="K314" s="116"/>
      <c r="L314" s="116"/>
      <c r="M314" s="117"/>
      <c r="N314" s="4"/>
    </row>
    <row r="315" spans="1:14" s="86" customFormat="1" ht="12">
      <c r="A315" s="84"/>
      <c r="B315" s="85" t="s">
        <v>139</v>
      </c>
      <c r="C315" s="103" t="s">
        <v>576</v>
      </c>
      <c r="D315" s="104"/>
      <c r="E315" s="104"/>
      <c r="F315" s="104"/>
      <c r="G315" s="104"/>
      <c r="H315" s="104"/>
      <c r="I315" s="104"/>
      <c r="J315" s="104"/>
      <c r="K315" s="104"/>
      <c r="L315" s="104"/>
      <c r="M315" s="105"/>
      <c r="N315" s="84"/>
    </row>
    <row r="316" spans="1:35" ht="12.75">
      <c r="A316" s="69"/>
      <c r="B316" s="70"/>
      <c r="C316" s="108" t="s">
        <v>577</v>
      </c>
      <c r="D316" s="109"/>
      <c r="E316" s="109"/>
      <c r="F316" s="109"/>
      <c r="G316" s="71" t="s">
        <v>6</v>
      </c>
      <c r="H316" s="71" t="s">
        <v>6</v>
      </c>
      <c r="I316" s="94" t="s">
        <v>6</v>
      </c>
      <c r="J316" s="72">
        <f>J317+J324</f>
        <v>0</v>
      </c>
      <c r="K316" s="72">
        <f>K317+K324</f>
        <v>0</v>
      </c>
      <c r="L316" s="72">
        <f>L317+L324</f>
        <v>0</v>
      </c>
      <c r="M316" s="73"/>
      <c r="N316" s="4"/>
      <c r="AI316" s="27"/>
    </row>
    <row r="317" spans="1:47" ht="12.75">
      <c r="A317" s="69"/>
      <c r="B317" s="70" t="s">
        <v>284</v>
      </c>
      <c r="C317" s="108" t="s">
        <v>578</v>
      </c>
      <c r="D317" s="109"/>
      <c r="E317" s="109"/>
      <c r="F317" s="109"/>
      <c r="G317" s="71" t="s">
        <v>6</v>
      </c>
      <c r="H317" s="71" t="s">
        <v>6</v>
      </c>
      <c r="I317" s="94" t="s">
        <v>6</v>
      </c>
      <c r="J317" s="72">
        <f>SUM(J318:J322)</f>
        <v>0</v>
      </c>
      <c r="K317" s="72">
        <f>SUM(K318:K322)</f>
        <v>0</v>
      </c>
      <c r="L317" s="72">
        <f>SUM(L318:L322)</f>
        <v>0</v>
      </c>
      <c r="M317" s="73"/>
      <c r="N317" s="4"/>
      <c r="AI317" s="27"/>
      <c r="AS317" s="33">
        <f>SUM(AJ318:AJ322)</f>
        <v>0</v>
      </c>
      <c r="AT317" s="33">
        <f>SUM(AK318:AK322)</f>
        <v>0</v>
      </c>
      <c r="AU317" s="33">
        <f>SUM(AL318:AL322)</f>
        <v>0</v>
      </c>
    </row>
    <row r="318" spans="1:64" ht="12.75">
      <c r="A318" s="3" t="s">
        <v>135</v>
      </c>
      <c r="B318" s="11" t="s">
        <v>285</v>
      </c>
      <c r="C318" s="106" t="s">
        <v>579</v>
      </c>
      <c r="D318" s="107"/>
      <c r="E318" s="107"/>
      <c r="F318" s="107"/>
      <c r="G318" s="11" t="s">
        <v>600</v>
      </c>
      <c r="H318" s="17">
        <v>1</v>
      </c>
      <c r="I318" s="93">
        <v>0</v>
      </c>
      <c r="J318" s="17">
        <f>H318*AO318</f>
        <v>0</v>
      </c>
      <c r="K318" s="17">
        <f>H318*AP318</f>
        <v>0</v>
      </c>
      <c r="L318" s="17">
        <f>H318*I318</f>
        <v>0</v>
      </c>
      <c r="M318" s="24"/>
      <c r="N318" s="4"/>
      <c r="Z318" s="28">
        <f>IF(AQ318="5",BJ318,0)</f>
        <v>0</v>
      </c>
      <c r="AB318" s="28">
        <f>IF(AQ318="1",BH318,0)</f>
        <v>0</v>
      </c>
      <c r="AC318" s="28">
        <f>IF(AQ318="1",BI318,0)</f>
        <v>0</v>
      </c>
      <c r="AD318" s="28">
        <f>IF(AQ318="7",BH318,0)</f>
        <v>0</v>
      </c>
      <c r="AE318" s="28">
        <f>IF(AQ318="7",BI318,0)</f>
        <v>0</v>
      </c>
      <c r="AF318" s="28">
        <f>IF(AQ318="2",BH318,0)</f>
        <v>0</v>
      </c>
      <c r="AG318" s="28">
        <f>IF(AQ318="2",BI318,0)</f>
        <v>0</v>
      </c>
      <c r="AH318" s="28">
        <f>IF(AQ318="0",BJ318,0)</f>
        <v>0</v>
      </c>
      <c r="AI318" s="27"/>
      <c r="AJ318" s="17">
        <f>IF(AN318=0,L318,0)</f>
        <v>0</v>
      </c>
      <c r="AK318" s="17">
        <f>IF(AN318=15,L318,0)</f>
        <v>0</v>
      </c>
      <c r="AL318" s="17">
        <f>IF(AN318=21,L318,0)</f>
        <v>0</v>
      </c>
      <c r="AN318" s="28">
        <v>21</v>
      </c>
      <c r="AO318" s="28">
        <f>I318*0</f>
        <v>0</v>
      </c>
      <c r="AP318" s="28">
        <f>I318*(1-0)</f>
        <v>0</v>
      </c>
      <c r="AQ318" s="29" t="s">
        <v>105</v>
      </c>
      <c r="AV318" s="28">
        <f>AW318+AX318</f>
        <v>0</v>
      </c>
      <c r="AW318" s="28">
        <f>H318*AO318</f>
        <v>0</v>
      </c>
      <c r="AX318" s="28">
        <f>H318*AP318</f>
        <v>0</v>
      </c>
      <c r="AY318" s="31" t="s">
        <v>656</v>
      </c>
      <c r="AZ318" s="31" t="s">
        <v>668</v>
      </c>
      <c r="BA318" s="27" t="s">
        <v>669</v>
      </c>
      <c r="BC318" s="28">
        <f>AW318+AX318</f>
        <v>0</v>
      </c>
      <c r="BD318" s="28">
        <f>I318/(100-BE318)*100</f>
        <v>0</v>
      </c>
      <c r="BE318" s="28">
        <v>0</v>
      </c>
      <c r="BF318" s="28">
        <f>318</f>
        <v>318</v>
      </c>
      <c r="BH318" s="17">
        <f>H318*AO318</f>
        <v>0</v>
      </c>
      <c r="BI318" s="17">
        <f>H318*AP318</f>
        <v>0</v>
      </c>
      <c r="BJ318" s="17">
        <f>H318*I318</f>
        <v>0</v>
      </c>
      <c r="BK318" s="17" t="s">
        <v>674</v>
      </c>
      <c r="BL318" s="28" t="s">
        <v>284</v>
      </c>
    </row>
    <row r="319" spans="1:14" s="86" customFormat="1" ht="12">
      <c r="A319" s="84"/>
      <c r="B319" s="85" t="s">
        <v>139</v>
      </c>
      <c r="C319" s="103" t="s">
        <v>580</v>
      </c>
      <c r="D319" s="104"/>
      <c r="E319" s="104"/>
      <c r="F319" s="104"/>
      <c r="G319" s="104"/>
      <c r="H319" s="104"/>
      <c r="I319" s="104"/>
      <c r="J319" s="104"/>
      <c r="K319" s="104"/>
      <c r="L319" s="104"/>
      <c r="M319" s="105"/>
      <c r="N319" s="84"/>
    </row>
    <row r="320" spans="1:64" ht="12.75">
      <c r="A320" s="3" t="s">
        <v>136</v>
      </c>
      <c r="B320" s="11" t="s">
        <v>286</v>
      </c>
      <c r="C320" s="106" t="s">
        <v>581</v>
      </c>
      <c r="D320" s="107"/>
      <c r="E320" s="107"/>
      <c r="F320" s="107"/>
      <c r="G320" s="11" t="s">
        <v>600</v>
      </c>
      <c r="H320" s="17">
        <v>1</v>
      </c>
      <c r="I320" s="93">
        <v>0</v>
      </c>
      <c r="J320" s="17">
        <f>H320*AO320</f>
        <v>0</v>
      </c>
      <c r="K320" s="17">
        <f>H320*AP320</f>
        <v>0</v>
      </c>
      <c r="L320" s="17">
        <f>H320*I320</f>
        <v>0</v>
      </c>
      <c r="M320" s="24"/>
      <c r="N320" s="4"/>
      <c r="Z320" s="28">
        <f>IF(AQ320="5",BJ320,0)</f>
        <v>0</v>
      </c>
      <c r="AB320" s="28">
        <f>IF(AQ320="1",BH320,0)</f>
        <v>0</v>
      </c>
      <c r="AC320" s="28">
        <f>IF(AQ320="1",BI320,0)</f>
        <v>0</v>
      </c>
      <c r="AD320" s="28">
        <f>IF(AQ320="7",BH320,0)</f>
        <v>0</v>
      </c>
      <c r="AE320" s="28">
        <f>IF(AQ320="7",BI320,0)</f>
        <v>0</v>
      </c>
      <c r="AF320" s="28">
        <f>IF(AQ320="2",BH320,0)</f>
        <v>0</v>
      </c>
      <c r="AG320" s="28">
        <f>IF(AQ320="2",BI320,0)</f>
        <v>0</v>
      </c>
      <c r="AH320" s="28">
        <f>IF(AQ320="0",BJ320,0)</f>
        <v>0</v>
      </c>
      <c r="AI320" s="27"/>
      <c r="AJ320" s="17">
        <f>IF(AN320=0,L320,0)</f>
        <v>0</v>
      </c>
      <c r="AK320" s="17">
        <f>IF(AN320=15,L320,0)</f>
        <v>0</v>
      </c>
      <c r="AL320" s="17">
        <f>IF(AN320=21,L320,0)</f>
        <v>0</v>
      </c>
      <c r="AN320" s="28">
        <v>21</v>
      </c>
      <c r="AO320" s="28">
        <f>I320*0</f>
        <v>0</v>
      </c>
      <c r="AP320" s="28">
        <f>I320*(1-0)</f>
        <v>0</v>
      </c>
      <c r="AQ320" s="29" t="s">
        <v>105</v>
      </c>
      <c r="AV320" s="28">
        <f>AW320+AX320</f>
        <v>0</v>
      </c>
      <c r="AW320" s="28">
        <f>H320*AO320</f>
        <v>0</v>
      </c>
      <c r="AX320" s="28">
        <f>H320*AP320</f>
        <v>0</v>
      </c>
      <c r="AY320" s="31" t="s">
        <v>656</v>
      </c>
      <c r="AZ320" s="31" t="s">
        <v>668</v>
      </c>
      <c r="BA320" s="27" t="s">
        <v>669</v>
      </c>
      <c r="BC320" s="28">
        <f>AW320+AX320</f>
        <v>0</v>
      </c>
      <c r="BD320" s="28">
        <f>I320/(100-BE320)*100</f>
        <v>0</v>
      </c>
      <c r="BE320" s="28">
        <v>0</v>
      </c>
      <c r="BF320" s="28">
        <f>320</f>
        <v>320</v>
      </c>
      <c r="BH320" s="17">
        <f>H320*AO320</f>
        <v>0</v>
      </c>
      <c r="BI320" s="17">
        <f>H320*AP320</f>
        <v>0</v>
      </c>
      <c r="BJ320" s="17">
        <f>H320*I320</f>
        <v>0</v>
      </c>
      <c r="BK320" s="17" t="s">
        <v>674</v>
      </c>
      <c r="BL320" s="28" t="s">
        <v>284</v>
      </c>
    </row>
    <row r="321" spans="1:14" s="86" customFormat="1" ht="25.5" customHeight="1">
      <c r="A321" s="84"/>
      <c r="B321" s="85" t="s">
        <v>139</v>
      </c>
      <c r="C321" s="103" t="s">
        <v>582</v>
      </c>
      <c r="D321" s="104"/>
      <c r="E321" s="104"/>
      <c r="F321" s="104"/>
      <c r="G321" s="104"/>
      <c r="H321" s="104"/>
      <c r="I321" s="104"/>
      <c r="J321" s="104"/>
      <c r="K321" s="104"/>
      <c r="L321" s="104"/>
      <c r="M321" s="105"/>
      <c r="N321" s="84"/>
    </row>
    <row r="322" spans="1:64" ht="12.75">
      <c r="A322" s="3" t="s">
        <v>137</v>
      </c>
      <c r="B322" s="11" t="s">
        <v>287</v>
      </c>
      <c r="C322" s="106" t="s">
        <v>583</v>
      </c>
      <c r="D322" s="107"/>
      <c r="E322" s="107"/>
      <c r="F322" s="107"/>
      <c r="G322" s="11" t="s">
        <v>600</v>
      </c>
      <c r="H322" s="17">
        <v>1</v>
      </c>
      <c r="I322" s="93">
        <v>0</v>
      </c>
      <c r="J322" s="17">
        <f>H322*AO322</f>
        <v>0</v>
      </c>
      <c r="K322" s="17">
        <f>H322*AP322</f>
        <v>0</v>
      </c>
      <c r="L322" s="17">
        <f>H322*I322</f>
        <v>0</v>
      </c>
      <c r="M322" s="24"/>
      <c r="N322" s="4"/>
      <c r="Z322" s="28">
        <f>IF(AQ322="5",BJ322,0)</f>
        <v>0</v>
      </c>
      <c r="AB322" s="28">
        <f>IF(AQ322="1",BH322,0)</f>
        <v>0</v>
      </c>
      <c r="AC322" s="28">
        <f>IF(AQ322="1",BI322,0)</f>
        <v>0</v>
      </c>
      <c r="AD322" s="28">
        <f>IF(AQ322="7",BH322,0)</f>
        <v>0</v>
      </c>
      <c r="AE322" s="28">
        <f>IF(AQ322="7",BI322,0)</f>
        <v>0</v>
      </c>
      <c r="AF322" s="28">
        <f>IF(AQ322="2",BH322,0)</f>
        <v>0</v>
      </c>
      <c r="AG322" s="28">
        <f>IF(AQ322="2",BI322,0)</f>
        <v>0</v>
      </c>
      <c r="AH322" s="28">
        <f>IF(AQ322="0",BJ322,0)</f>
        <v>0</v>
      </c>
      <c r="AI322" s="27"/>
      <c r="AJ322" s="17">
        <f>IF(AN322=0,L322,0)</f>
        <v>0</v>
      </c>
      <c r="AK322" s="17">
        <f>IF(AN322=15,L322,0)</f>
        <v>0</v>
      </c>
      <c r="AL322" s="17">
        <f>IF(AN322=21,L322,0)</f>
        <v>0</v>
      </c>
      <c r="AN322" s="28">
        <v>21</v>
      </c>
      <c r="AO322" s="28">
        <f>I322*0</f>
        <v>0</v>
      </c>
      <c r="AP322" s="28">
        <f>I322*(1-0)</f>
        <v>0</v>
      </c>
      <c r="AQ322" s="29" t="s">
        <v>105</v>
      </c>
      <c r="AV322" s="28">
        <f>AW322+AX322</f>
        <v>0</v>
      </c>
      <c r="AW322" s="28">
        <f>H322*AO322</f>
        <v>0</v>
      </c>
      <c r="AX322" s="28">
        <f>H322*AP322</f>
        <v>0</v>
      </c>
      <c r="AY322" s="31" t="s">
        <v>656</v>
      </c>
      <c r="AZ322" s="31" t="s">
        <v>668</v>
      </c>
      <c r="BA322" s="27" t="s">
        <v>669</v>
      </c>
      <c r="BC322" s="28">
        <f>AW322+AX322</f>
        <v>0</v>
      </c>
      <c r="BD322" s="28">
        <f>I322/(100-BE322)*100</f>
        <v>0</v>
      </c>
      <c r="BE322" s="28">
        <v>0</v>
      </c>
      <c r="BF322" s="28">
        <f>322</f>
        <v>322</v>
      </c>
      <c r="BH322" s="17">
        <f>H322*AO322</f>
        <v>0</v>
      </c>
      <c r="BI322" s="17">
        <f>H322*AP322</f>
        <v>0</v>
      </c>
      <c r="BJ322" s="17">
        <f>H322*I322</f>
        <v>0</v>
      </c>
      <c r="BK322" s="17" t="s">
        <v>674</v>
      </c>
      <c r="BL322" s="28" t="s">
        <v>284</v>
      </c>
    </row>
    <row r="323" spans="1:14" s="86" customFormat="1" ht="25.5" customHeight="1">
      <c r="A323" s="84"/>
      <c r="B323" s="85" t="s">
        <v>139</v>
      </c>
      <c r="C323" s="103" t="s">
        <v>584</v>
      </c>
      <c r="D323" s="104"/>
      <c r="E323" s="104"/>
      <c r="F323" s="104"/>
      <c r="G323" s="104"/>
      <c r="H323" s="104"/>
      <c r="I323" s="104"/>
      <c r="J323" s="104"/>
      <c r="K323" s="104"/>
      <c r="L323" s="104"/>
      <c r="M323" s="105"/>
      <c r="N323" s="84"/>
    </row>
    <row r="324" spans="1:47" ht="12.75">
      <c r="A324" s="69"/>
      <c r="B324" s="70" t="s">
        <v>288</v>
      </c>
      <c r="C324" s="108" t="s">
        <v>585</v>
      </c>
      <c r="D324" s="109"/>
      <c r="E324" s="109"/>
      <c r="F324" s="109"/>
      <c r="G324" s="71" t="s">
        <v>6</v>
      </c>
      <c r="H324" s="71" t="s">
        <v>6</v>
      </c>
      <c r="I324" s="94" t="s">
        <v>6</v>
      </c>
      <c r="J324" s="72">
        <f>SUM(J325:J325)</f>
        <v>0</v>
      </c>
      <c r="K324" s="72">
        <f>SUM(K325:K325)</f>
        <v>0</v>
      </c>
      <c r="L324" s="72">
        <f>SUM(L325:L325)</f>
        <v>0</v>
      </c>
      <c r="M324" s="73"/>
      <c r="N324" s="4"/>
      <c r="AI324" s="27"/>
      <c r="AS324" s="33">
        <f>SUM(AJ325:AJ325)</f>
        <v>0</v>
      </c>
      <c r="AT324" s="33">
        <f>SUM(AK325:AK325)</f>
        <v>0</v>
      </c>
      <c r="AU324" s="33">
        <f>SUM(AL325:AL325)</f>
        <v>0</v>
      </c>
    </row>
    <row r="325" spans="1:64" ht="12.75">
      <c r="A325" s="3" t="s">
        <v>138</v>
      </c>
      <c r="B325" s="11" t="s">
        <v>289</v>
      </c>
      <c r="C325" s="106" t="s">
        <v>586</v>
      </c>
      <c r="D325" s="107"/>
      <c r="E325" s="107"/>
      <c r="F325" s="107"/>
      <c r="G325" s="11" t="s">
        <v>600</v>
      </c>
      <c r="H325" s="17">
        <v>1</v>
      </c>
      <c r="I325" s="93">
        <v>0</v>
      </c>
      <c r="J325" s="17">
        <f>H325*AO325</f>
        <v>0</v>
      </c>
      <c r="K325" s="17">
        <f>H325*AP325</f>
        <v>0</v>
      </c>
      <c r="L325" s="17">
        <f>H325*I325</f>
        <v>0</v>
      </c>
      <c r="M325" s="24"/>
      <c r="N325" s="4"/>
      <c r="Z325" s="28">
        <f>IF(AQ325="5",BJ325,0)</f>
        <v>0</v>
      </c>
      <c r="AB325" s="28">
        <f>IF(AQ325="1",BH325,0)</f>
        <v>0</v>
      </c>
      <c r="AC325" s="28">
        <f>IF(AQ325="1",BI325,0)</f>
        <v>0</v>
      </c>
      <c r="AD325" s="28">
        <f>IF(AQ325="7",BH325,0)</f>
        <v>0</v>
      </c>
      <c r="AE325" s="28">
        <f>IF(AQ325="7",BI325,0)</f>
        <v>0</v>
      </c>
      <c r="AF325" s="28">
        <f>IF(AQ325="2",BH325,0)</f>
        <v>0</v>
      </c>
      <c r="AG325" s="28">
        <f>IF(AQ325="2",BI325,0)</f>
        <v>0</v>
      </c>
      <c r="AH325" s="28">
        <f>IF(AQ325="0",BJ325,0)</f>
        <v>0</v>
      </c>
      <c r="AI325" s="27"/>
      <c r="AJ325" s="17">
        <f>IF(AN325=0,L325,0)</f>
        <v>0</v>
      </c>
      <c r="AK325" s="17">
        <f>IF(AN325=15,L325,0)</f>
        <v>0</v>
      </c>
      <c r="AL325" s="17">
        <f>IF(AN325=21,L325,0)</f>
        <v>0</v>
      </c>
      <c r="AN325" s="28">
        <v>21</v>
      </c>
      <c r="AO325" s="28">
        <f>I325*0</f>
        <v>0</v>
      </c>
      <c r="AP325" s="28">
        <f>I325*(1-0)</f>
        <v>0</v>
      </c>
      <c r="AQ325" s="29" t="s">
        <v>105</v>
      </c>
      <c r="AV325" s="28">
        <f>AW325+AX325</f>
        <v>0</v>
      </c>
      <c r="AW325" s="28">
        <f>H325*AO325</f>
        <v>0</v>
      </c>
      <c r="AX325" s="28">
        <f>H325*AP325</f>
        <v>0</v>
      </c>
      <c r="AY325" s="31" t="s">
        <v>657</v>
      </c>
      <c r="AZ325" s="31" t="s">
        <v>668</v>
      </c>
      <c r="BA325" s="27" t="s">
        <v>669</v>
      </c>
      <c r="BC325" s="28">
        <f>AW325+AX325</f>
        <v>0</v>
      </c>
      <c r="BD325" s="28">
        <f>I325/(100-BE325)*100</f>
        <v>0</v>
      </c>
      <c r="BE325" s="28">
        <v>0</v>
      </c>
      <c r="BF325" s="28">
        <f>325</f>
        <v>325</v>
      </c>
      <c r="BH325" s="17">
        <f>H325*AO325</f>
        <v>0</v>
      </c>
      <c r="BI325" s="17">
        <f>H325*AP325</f>
        <v>0</v>
      </c>
      <c r="BJ325" s="17">
        <f>H325*I325</f>
        <v>0</v>
      </c>
      <c r="BK325" s="17" t="s">
        <v>674</v>
      </c>
      <c r="BL325" s="28" t="s">
        <v>288</v>
      </c>
    </row>
    <row r="326" spans="1:14" s="86" customFormat="1" ht="12">
      <c r="A326" s="87"/>
      <c r="B326" s="88" t="s">
        <v>139</v>
      </c>
      <c r="C326" s="110" t="s">
        <v>587</v>
      </c>
      <c r="D326" s="111"/>
      <c r="E326" s="111"/>
      <c r="F326" s="111"/>
      <c r="G326" s="111"/>
      <c r="H326" s="111"/>
      <c r="I326" s="111"/>
      <c r="J326" s="111"/>
      <c r="K326" s="111"/>
      <c r="L326" s="111"/>
      <c r="M326" s="112"/>
      <c r="N326" s="84"/>
    </row>
    <row r="327" spans="1:13" ht="12.75">
      <c r="A327" s="7"/>
      <c r="B327" s="7"/>
      <c r="C327" s="7"/>
      <c r="D327" s="7"/>
      <c r="E327" s="7"/>
      <c r="F327" s="7"/>
      <c r="G327" s="7"/>
      <c r="H327" s="7"/>
      <c r="I327" s="7"/>
      <c r="J327" s="99" t="s">
        <v>613</v>
      </c>
      <c r="K327" s="100"/>
      <c r="L327" s="34">
        <f>L12+L15+L26+L29+L41+L47+L56+L69+L86+L90+L97+L107+L142+L144+L150+L161+L176+L180+L190+L195+L225+L229+L231+L238+L244+L249+L260+L317+L324</f>
        <v>0</v>
      </c>
      <c r="M327" s="7"/>
    </row>
    <row r="328" spans="1:9" ht="11.25" customHeight="1">
      <c r="A328" s="8" t="s">
        <v>139</v>
      </c>
      <c r="I328" s="74"/>
    </row>
    <row r="329" spans="1:13" ht="12.75">
      <c r="A329" s="101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</row>
    <row r="330" ht="12.75">
      <c r="I330" s="74"/>
    </row>
    <row r="331" ht="12.75">
      <c r="I331" s="74"/>
    </row>
    <row r="332" ht="12.75">
      <c r="I332" s="74"/>
    </row>
    <row r="333" ht="12.75">
      <c r="I333" s="74"/>
    </row>
    <row r="334" ht="12.75">
      <c r="I334" s="74"/>
    </row>
    <row r="335" ht="12.75">
      <c r="I335" s="74"/>
    </row>
    <row r="336" ht="12.75">
      <c r="I336" s="74"/>
    </row>
    <row r="337" ht="12.75">
      <c r="I337" s="74"/>
    </row>
    <row r="338" ht="12.75">
      <c r="I338" s="74"/>
    </row>
    <row r="339" ht="12.75">
      <c r="I339" s="74"/>
    </row>
    <row r="340" ht="12.75">
      <c r="I340" s="74"/>
    </row>
    <row r="341" ht="12.75">
      <c r="I341" s="74"/>
    </row>
    <row r="342" ht="12.75">
      <c r="I342" s="74"/>
    </row>
    <row r="343" ht="12.75">
      <c r="I343" s="74"/>
    </row>
    <row r="344" ht="12.75">
      <c r="I344" s="74"/>
    </row>
    <row r="345" ht="12.75">
      <c r="I345" s="74"/>
    </row>
    <row r="346" ht="12.75">
      <c r="I346" s="74"/>
    </row>
    <row r="347" ht="12.75">
      <c r="I347" s="74"/>
    </row>
    <row r="348" ht="12.75">
      <c r="I348" s="74"/>
    </row>
    <row r="349" ht="12.75">
      <c r="I349" s="74"/>
    </row>
    <row r="350" ht="12.75">
      <c r="I350" s="74"/>
    </row>
    <row r="351" ht="12.75">
      <c r="I351" s="74"/>
    </row>
    <row r="352" ht="12.75">
      <c r="I352" s="74"/>
    </row>
    <row r="353" ht="12.75">
      <c r="I353" s="74"/>
    </row>
    <row r="354" ht="12.75">
      <c r="I354" s="74"/>
    </row>
    <row r="355" ht="12.75">
      <c r="I355" s="74"/>
    </row>
    <row r="356" ht="12.75">
      <c r="I356" s="74"/>
    </row>
    <row r="357" ht="12.75">
      <c r="I357" s="74"/>
    </row>
    <row r="358" ht="12.75">
      <c r="I358" s="74"/>
    </row>
    <row r="359" ht="12.75">
      <c r="I359" s="74"/>
    </row>
    <row r="360" ht="12.75">
      <c r="I360" s="74"/>
    </row>
    <row r="361" ht="12.75">
      <c r="I361" s="74"/>
    </row>
    <row r="362" ht="12.75">
      <c r="I362" s="74"/>
    </row>
    <row r="363" ht="12.75">
      <c r="I363" s="74"/>
    </row>
    <row r="364" ht="12.75">
      <c r="I364" s="74"/>
    </row>
    <row r="365" ht="12.75">
      <c r="I365" s="74"/>
    </row>
    <row r="366" ht="12.75">
      <c r="I366" s="74"/>
    </row>
    <row r="367" ht="12.75">
      <c r="I367" s="74"/>
    </row>
    <row r="368" ht="12.75">
      <c r="I368" s="74"/>
    </row>
    <row r="369" ht="12.75">
      <c r="I369" s="74"/>
    </row>
    <row r="370" ht="12.75">
      <c r="I370" s="74"/>
    </row>
    <row r="371" ht="12.75">
      <c r="I371" s="74"/>
    </row>
    <row r="372" ht="12.75">
      <c r="I372" s="74"/>
    </row>
    <row r="373" ht="12.75">
      <c r="I373" s="74"/>
    </row>
    <row r="374" ht="12.75">
      <c r="I374" s="74"/>
    </row>
    <row r="375" ht="12.75">
      <c r="I375" s="74"/>
    </row>
    <row r="376" ht="12.75">
      <c r="I376" s="74"/>
    </row>
    <row r="377" ht="12.75">
      <c r="I377" s="74"/>
    </row>
    <row r="378" ht="12.75">
      <c r="I378" s="74"/>
    </row>
    <row r="379" ht="12.75">
      <c r="I379" s="74"/>
    </row>
    <row r="380" ht="12.75">
      <c r="I380" s="74"/>
    </row>
    <row r="381" ht="12.75">
      <c r="I381" s="74"/>
    </row>
    <row r="382" ht="12.75">
      <c r="I382" s="74"/>
    </row>
    <row r="383" ht="12.75">
      <c r="I383" s="74"/>
    </row>
    <row r="384" ht="12.75">
      <c r="I384" s="74"/>
    </row>
    <row r="385" ht="12.75">
      <c r="I385" s="74"/>
    </row>
    <row r="386" ht="12.75">
      <c r="I386" s="74"/>
    </row>
    <row r="387" ht="12.75">
      <c r="I387" s="74"/>
    </row>
    <row r="388" ht="12.75">
      <c r="I388" s="74"/>
    </row>
    <row r="389" ht="12.75">
      <c r="I389" s="74"/>
    </row>
    <row r="390" ht="12.75">
      <c r="I390" s="74"/>
    </row>
    <row r="391" ht="12.75">
      <c r="I391" s="74"/>
    </row>
    <row r="392" ht="12.75">
      <c r="I392" s="74"/>
    </row>
    <row r="393" ht="12.75">
      <c r="I393" s="74"/>
    </row>
    <row r="394" ht="12.75">
      <c r="I394" s="74"/>
    </row>
    <row r="395" ht="12.75">
      <c r="I395" s="74"/>
    </row>
    <row r="396" ht="12.75">
      <c r="I396" s="74"/>
    </row>
    <row r="397" ht="12.75">
      <c r="I397" s="74"/>
    </row>
    <row r="398" ht="12.75">
      <c r="I398" s="74"/>
    </row>
    <row r="399" ht="12.75">
      <c r="I399" s="74"/>
    </row>
    <row r="400" ht="12.75">
      <c r="I400" s="74"/>
    </row>
    <row r="401" ht="12.75">
      <c r="I401" s="74"/>
    </row>
    <row r="402" ht="12.75">
      <c r="I402" s="74"/>
    </row>
    <row r="403" ht="12.75">
      <c r="I403" s="74"/>
    </row>
    <row r="404" ht="12.75">
      <c r="I404" s="74"/>
    </row>
    <row r="405" ht="12.75">
      <c r="I405" s="74"/>
    </row>
    <row r="406" ht="12.75">
      <c r="I406" s="74"/>
    </row>
    <row r="407" ht="12.75">
      <c r="I407" s="74"/>
    </row>
    <row r="408" ht="12.75">
      <c r="I408" s="74"/>
    </row>
    <row r="409" ht="12.75">
      <c r="I409" s="74"/>
    </row>
    <row r="410" ht="12.75">
      <c r="I410" s="74"/>
    </row>
    <row r="411" ht="12.75">
      <c r="I411" s="74"/>
    </row>
    <row r="412" ht="12.75">
      <c r="I412" s="74"/>
    </row>
    <row r="413" ht="12.75">
      <c r="I413" s="74"/>
    </row>
    <row r="414" ht="12.75">
      <c r="I414" s="74"/>
    </row>
    <row r="415" ht="12.75">
      <c r="I415" s="74"/>
    </row>
    <row r="416" ht="12.75">
      <c r="I416" s="74"/>
    </row>
    <row r="417" ht="12.75">
      <c r="I417" s="74"/>
    </row>
    <row r="418" ht="12.75">
      <c r="I418" s="74"/>
    </row>
    <row r="419" ht="12.75">
      <c r="I419" s="74"/>
    </row>
    <row r="420" ht="12.75">
      <c r="I420" s="74"/>
    </row>
    <row r="421" ht="12.75">
      <c r="I421" s="74"/>
    </row>
    <row r="422" ht="12.75">
      <c r="I422" s="74"/>
    </row>
    <row r="423" ht="12.75">
      <c r="I423" s="74"/>
    </row>
    <row r="424" ht="12.75">
      <c r="I424" s="74"/>
    </row>
    <row r="425" ht="12.75">
      <c r="I425" s="74"/>
    </row>
    <row r="426" ht="12.75">
      <c r="I426" s="74"/>
    </row>
    <row r="427" ht="12.75">
      <c r="I427" s="74"/>
    </row>
    <row r="428" ht="12.75">
      <c r="I428" s="74"/>
    </row>
    <row r="429" ht="12.75">
      <c r="I429" s="74"/>
    </row>
    <row r="430" ht="12.75">
      <c r="I430" s="74"/>
    </row>
    <row r="431" ht="12.75">
      <c r="I431" s="74"/>
    </row>
    <row r="432" ht="12.75">
      <c r="I432" s="74"/>
    </row>
    <row r="433" ht="12.75">
      <c r="I433" s="74"/>
    </row>
    <row r="434" ht="12.75">
      <c r="I434" s="74"/>
    </row>
    <row r="435" ht="12.75">
      <c r="I435" s="74"/>
    </row>
    <row r="436" ht="12.75">
      <c r="I436" s="74"/>
    </row>
    <row r="437" ht="12.75">
      <c r="I437" s="74"/>
    </row>
    <row r="438" ht="12.75">
      <c r="I438" s="74"/>
    </row>
    <row r="439" ht="12.75">
      <c r="I439" s="74"/>
    </row>
    <row r="440" ht="12.75">
      <c r="I440" s="74"/>
    </row>
    <row r="441" ht="12.75">
      <c r="I441" s="74"/>
    </row>
    <row r="442" ht="12.75">
      <c r="I442" s="74"/>
    </row>
    <row r="443" ht="12.75">
      <c r="I443" s="74"/>
    </row>
    <row r="444" ht="12.75">
      <c r="I444" s="74"/>
    </row>
    <row r="445" ht="12.75">
      <c r="I445" s="74"/>
    </row>
    <row r="446" ht="12.75">
      <c r="I446" s="74"/>
    </row>
    <row r="447" ht="12.75">
      <c r="I447" s="74"/>
    </row>
    <row r="448" ht="12.75">
      <c r="I448" s="74"/>
    </row>
    <row r="449" ht="12.75">
      <c r="I449" s="74"/>
    </row>
    <row r="450" ht="12.75">
      <c r="I450" s="74"/>
    </row>
    <row r="451" ht="12.75">
      <c r="I451" s="74"/>
    </row>
    <row r="452" ht="12.75">
      <c r="I452" s="74"/>
    </row>
    <row r="453" ht="12.75">
      <c r="I453" s="74"/>
    </row>
    <row r="454" ht="12.75">
      <c r="I454" s="74"/>
    </row>
    <row r="455" ht="12.75">
      <c r="I455" s="74"/>
    </row>
    <row r="456" ht="12.75">
      <c r="I456" s="74"/>
    </row>
    <row r="457" ht="12.75">
      <c r="I457" s="74"/>
    </row>
    <row r="458" ht="12.75">
      <c r="I458" s="74"/>
    </row>
    <row r="459" ht="12.75">
      <c r="I459" s="74"/>
    </row>
    <row r="460" ht="12.75">
      <c r="I460" s="74"/>
    </row>
    <row r="461" ht="12.75">
      <c r="I461" s="74"/>
    </row>
    <row r="462" ht="12.75">
      <c r="I462" s="74"/>
    </row>
    <row r="463" ht="12.75">
      <c r="I463" s="74"/>
    </row>
    <row r="464" ht="12.75">
      <c r="I464" s="74"/>
    </row>
    <row r="465" ht="12.75">
      <c r="I465" s="74"/>
    </row>
    <row r="466" ht="12.75">
      <c r="I466" s="74"/>
    </row>
    <row r="467" ht="12.75">
      <c r="I467" s="74"/>
    </row>
    <row r="468" ht="12.75">
      <c r="I468" s="74"/>
    </row>
    <row r="469" ht="12.75">
      <c r="I469" s="74"/>
    </row>
    <row r="470" ht="12.75">
      <c r="I470" s="74"/>
    </row>
    <row r="471" ht="12.75">
      <c r="I471" s="74"/>
    </row>
    <row r="472" ht="12.75">
      <c r="I472" s="74"/>
    </row>
    <row r="473" ht="12.75">
      <c r="I473" s="74"/>
    </row>
    <row r="474" ht="12.75">
      <c r="I474" s="74"/>
    </row>
    <row r="475" ht="12.75">
      <c r="I475" s="74"/>
    </row>
    <row r="476" ht="12.75">
      <c r="I476" s="74"/>
    </row>
    <row r="477" ht="12.75">
      <c r="I477" s="74"/>
    </row>
    <row r="478" ht="12.75">
      <c r="I478" s="74"/>
    </row>
    <row r="479" ht="12.75">
      <c r="I479" s="74"/>
    </row>
    <row r="480" ht="12.75">
      <c r="I480" s="74"/>
    </row>
    <row r="481" ht="12.75">
      <c r="I481" s="74"/>
    </row>
    <row r="482" ht="12.75">
      <c r="I482" s="74"/>
    </row>
    <row r="483" ht="12.75">
      <c r="I483" s="74"/>
    </row>
    <row r="484" ht="12.75">
      <c r="I484" s="74"/>
    </row>
    <row r="485" ht="12.75">
      <c r="I485" s="74"/>
    </row>
    <row r="486" ht="12.75">
      <c r="I486" s="74"/>
    </row>
    <row r="487" ht="12.75">
      <c r="I487" s="74"/>
    </row>
    <row r="488" ht="12.75">
      <c r="I488" s="74"/>
    </row>
    <row r="489" ht="12.75">
      <c r="I489" s="74"/>
    </row>
    <row r="490" ht="12.75">
      <c r="I490" s="74"/>
    </row>
    <row r="491" ht="12.75">
      <c r="I491" s="74"/>
    </row>
    <row r="492" ht="12.75">
      <c r="I492" s="74"/>
    </row>
    <row r="493" ht="12.75">
      <c r="I493" s="74"/>
    </row>
    <row r="494" ht="12.75">
      <c r="I494" s="74"/>
    </row>
    <row r="495" ht="12.75">
      <c r="I495" s="74"/>
    </row>
    <row r="496" ht="12.75">
      <c r="I496" s="74"/>
    </row>
    <row r="497" ht="12.75">
      <c r="I497" s="74"/>
    </row>
    <row r="498" ht="12.75">
      <c r="I498" s="74"/>
    </row>
    <row r="499" ht="12.75">
      <c r="I499" s="74"/>
    </row>
    <row r="500" ht="12.75">
      <c r="I500" s="74"/>
    </row>
    <row r="501" ht="12.75">
      <c r="I501" s="74"/>
    </row>
    <row r="502" ht="12.75">
      <c r="I502" s="74"/>
    </row>
    <row r="503" ht="12.75">
      <c r="I503" s="74"/>
    </row>
    <row r="504" ht="12.75">
      <c r="I504" s="74"/>
    </row>
    <row r="505" ht="12.75">
      <c r="I505" s="74"/>
    </row>
    <row r="506" ht="12.75">
      <c r="I506" s="74"/>
    </row>
    <row r="507" ht="12.75">
      <c r="I507" s="74"/>
    </row>
    <row r="508" ht="12.75">
      <c r="I508" s="74"/>
    </row>
    <row r="509" ht="12.75">
      <c r="I509" s="74"/>
    </row>
    <row r="510" ht="12.75">
      <c r="I510" s="74"/>
    </row>
    <row r="511" ht="12.75">
      <c r="I511" s="74"/>
    </row>
    <row r="512" ht="12.75">
      <c r="I512" s="74"/>
    </row>
    <row r="513" ht="12.75">
      <c r="I513" s="74"/>
    </row>
    <row r="514" ht="12.75">
      <c r="I514" s="74"/>
    </row>
    <row r="515" ht="12.75">
      <c r="I515" s="74"/>
    </row>
    <row r="516" ht="12.75">
      <c r="I516" s="74"/>
    </row>
    <row r="517" ht="12.75">
      <c r="I517" s="74"/>
    </row>
    <row r="518" ht="12.75">
      <c r="I518" s="74"/>
    </row>
    <row r="519" ht="12.75">
      <c r="I519" s="74"/>
    </row>
    <row r="520" ht="12.75">
      <c r="I520" s="74"/>
    </row>
    <row r="521" ht="12.75">
      <c r="I521" s="74"/>
    </row>
    <row r="522" ht="12.75">
      <c r="I522" s="74"/>
    </row>
    <row r="523" ht="12.75">
      <c r="I523" s="74"/>
    </row>
    <row r="524" ht="12.75">
      <c r="I524" s="74"/>
    </row>
    <row r="525" ht="12.75">
      <c r="I525" s="74"/>
    </row>
    <row r="526" ht="12.75">
      <c r="I526" s="74"/>
    </row>
    <row r="527" ht="12.75">
      <c r="I527" s="74"/>
    </row>
    <row r="528" ht="12.75">
      <c r="I528" s="74"/>
    </row>
    <row r="529" ht="12.75">
      <c r="I529" s="74"/>
    </row>
    <row r="530" ht="12.75">
      <c r="I530" s="74"/>
    </row>
    <row r="531" ht="12.75">
      <c r="I531" s="74"/>
    </row>
    <row r="532" ht="12.75">
      <c r="I532" s="74"/>
    </row>
    <row r="533" ht="12.75">
      <c r="I533" s="74"/>
    </row>
    <row r="534" ht="12.75">
      <c r="I534" s="74"/>
    </row>
    <row r="535" ht="12.75">
      <c r="I535" s="74"/>
    </row>
    <row r="536" ht="12.75">
      <c r="I536" s="74"/>
    </row>
    <row r="537" ht="12.75">
      <c r="I537" s="74"/>
    </row>
    <row r="538" ht="12.75">
      <c r="I538" s="74"/>
    </row>
    <row r="539" ht="12.75">
      <c r="I539" s="74"/>
    </row>
    <row r="540" ht="12.75">
      <c r="I540" s="74"/>
    </row>
    <row r="541" ht="12.75">
      <c r="I541" s="74"/>
    </row>
    <row r="542" ht="12.75">
      <c r="I542" s="74"/>
    </row>
    <row r="543" ht="12.75">
      <c r="I543" s="74"/>
    </row>
    <row r="544" ht="12.75">
      <c r="I544" s="74"/>
    </row>
    <row r="545" ht="12.75">
      <c r="I545" s="74"/>
    </row>
    <row r="546" ht="12.75">
      <c r="I546" s="74"/>
    </row>
    <row r="547" ht="12.75">
      <c r="I547" s="74"/>
    </row>
    <row r="548" ht="12.75">
      <c r="I548" s="74"/>
    </row>
    <row r="549" ht="12.75">
      <c r="I549" s="74"/>
    </row>
    <row r="550" ht="12.75">
      <c r="I550" s="74"/>
    </row>
    <row r="551" ht="12.75">
      <c r="I551" s="74"/>
    </row>
    <row r="552" ht="12.75">
      <c r="I552" s="74"/>
    </row>
    <row r="553" ht="12.75">
      <c r="I553" s="74"/>
    </row>
    <row r="554" ht="12.75">
      <c r="I554" s="74"/>
    </row>
    <row r="555" ht="12.75">
      <c r="I555" s="74"/>
    </row>
    <row r="556" ht="12.75">
      <c r="I556" s="74"/>
    </row>
    <row r="557" ht="12.75">
      <c r="I557" s="74"/>
    </row>
    <row r="558" ht="12.75">
      <c r="I558" s="74"/>
    </row>
    <row r="559" ht="12.75">
      <c r="I559" s="74"/>
    </row>
    <row r="560" ht="12.75">
      <c r="I560" s="74"/>
    </row>
    <row r="561" ht="12.75">
      <c r="I561" s="74"/>
    </row>
    <row r="562" ht="12.75">
      <c r="I562" s="74"/>
    </row>
    <row r="563" ht="12.75">
      <c r="I563" s="74"/>
    </row>
    <row r="564" ht="12.75">
      <c r="I564" s="74"/>
    </row>
    <row r="565" ht="12.75">
      <c r="I565" s="74"/>
    </row>
    <row r="566" ht="12.75">
      <c r="I566" s="74"/>
    </row>
    <row r="567" ht="12.75">
      <c r="I567" s="74"/>
    </row>
    <row r="568" ht="12.75">
      <c r="I568" s="74"/>
    </row>
    <row r="569" ht="12.75">
      <c r="I569" s="74"/>
    </row>
    <row r="570" ht="12.75">
      <c r="I570" s="74"/>
    </row>
    <row r="571" ht="12.75">
      <c r="I571" s="74"/>
    </row>
    <row r="572" ht="12.75">
      <c r="I572" s="74"/>
    </row>
    <row r="573" ht="12.75">
      <c r="I573" s="74"/>
    </row>
    <row r="574" ht="12.75">
      <c r="I574" s="74"/>
    </row>
    <row r="575" ht="12.75">
      <c r="I575" s="74"/>
    </row>
    <row r="576" ht="12.75">
      <c r="I576" s="74"/>
    </row>
    <row r="577" ht="12.75">
      <c r="I577" s="74"/>
    </row>
    <row r="578" ht="12.75">
      <c r="I578" s="74"/>
    </row>
    <row r="579" ht="12.75">
      <c r="I579" s="74"/>
    </row>
    <row r="580" ht="12.75">
      <c r="I580" s="74"/>
    </row>
    <row r="581" ht="12.75">
      <c r="I581" s="74"/>
    </row>
    <row r="582" ht="12.75">
      <c r="I582" s="74"/>
    </row>
    <row r="583" ht="12.75">
      <c r="I583" s="74"/>
    </row>
    <row r="584" ht="12.75">
      <c r="I584" s="74"/>
    </row>
    <row r="585" ht="12.75">
      <c r="I585" s="74"/>
    </row>
    <row r="586" ht="12.75">
      <c r="I586" s="74"/>
    </row>
    <row r="587" ht="12.75">
      <c r="I587" s="74"/>
    </row>
    <row r="588" ht="12.75">
      <c r="I588" s="74"/>
    </row>
    <row r="589" ht="12.75">
      <c r="I589" s="74"/>
    </row>
    <row r="590" ht="12.75">
      <c r="I590" s="74"/>
    </row>
    <row r="591" ht="12.75">
      <c r="I591" s="74"/>
    </row>
    <row r="592" ht="12.75">
      <c r="I592" s="74"/>
    </row>
    <row r="593" ht="12.75">
      <c r="I593" s="74"/>
    </row>
    <row r="594" ht="12.75">
      <c r="I594" s="74"/>
    </row>
    <row r="595" ht="12.75">
      <c r="I595" s="74"/>
    </row>
    <row r="596" ht="12.75">
      <c r="I596" s="74"/>
    </row>
    <row r="597" ht="12.75">
      <c r="I597" s="74"/>
    </row>
    <row r="598" ht="12.75">
      <c r="I598" s="74"/>
    </row>
    <row r="599" ht="12.75">
      <c r="I599" s="74"/>
    </row>
    <row r="600" ht="12.75">
      <c r="I600" s="74"/>
    </row>
    <row r="601" ht="12.75">
      <c r="I601" s="74"/>
    </row>
    <row r="602" ht="12.75">
      <c r="I602" s="74"/>
    </row>
    <row r="603" ht="12.75">
      <c r="I603" s="74"/>
    </row>
    <row r="604" ht="12.75">
      <c r="I604" s="74"/>
    </row>
    <row r="605" ht="12.75">
      <c r="I605" s="74"/>
    </row>
    <row r="606" ht="12.75">
      <c r="I606" s="74"/>
    </row>
    <row r="607" ht="12.75">
      <c r="I607" s="74"/>
    </row>
    <row r="608" ht="12.75">
      <c r="I608" s="74"/>
    </row>
    <row r="609" ht="12.75">
      <c r="I609" s="74"/>
    </row>
    <row r="610" ht="12.75">
      <c r="I610" s="74"/>
    </row>
    <row r="611" ht="12.75">
      <c r="I611" s="74"/>
    </row>
    <row r="612" ht="12.75">
      <c r="I612" s="74"/>
    </row>
    <row r="613" ht="12.75">
      <c r="I613" s="74"/>
    </row>
    <row r="614" ht="12.75">
      <c r="I614" s="74"/>
    </row>
    <row r="615" ht="12.75">
      <c r="I615" s="74"/>
    </row>
    <row r="616" ht="12.75">
      <c r="I616" s="74"/>
    </row>
    <row r="617" ht="12.75">
      <c r="I617" s="74"/>
    </row>
    <row r="618" ht="12.75">
      <c r="I618" s="74"/>
    </row>
    <row r="619" ht="12.75">
      <c r="I619" s="74"/>
    </row>
    <row r="620" ht="12.75">
      <c r="I620" s="74"/>
    </row>
    <row r="621" ht="12.75">
      <c r="I621" s="74"/>
    </row>
    <row r="622" ht="12.75">
      <c r="I622" s="74"/>
    </row>
    <row r="623" ht="12.75">
      <c r="I623" s="74"/>
    </row>
    <row r="624" ht="12.75">
      <c r="I624" s="74"/>
    </row>
    <row r="625" ht="12.75">
      <c r="I625" s="74"/>
    </row>
    <row r="626" ht="12.75">
      <c r="I626" s="74"/>
    </row>
    <row r="627" ht="12.75">
      <c r="I627" s="74"/>
    </row>
    <row r="628" ht="12.75">
      <c r="I628" s="74"/>
    </row>
    <row r="629" ht="12.75">
      <c r="I629" s="74"/>
    </row>
    <row r="630" ht="12.75">
      <c r="I630" s="74"/>
    </row>
    <row r="631" ht="12.75">
      <c r="I631" s="74"/>
    </row>
    <row r="632" ht="12.75">
      <c r="I632" s="74"/>
    </row>
    <row r="633" ht="12.75">
      <c r="I633" s="74"/>
    </row>
    <row r="634" ht="12.75">
      <c r="I634" s="74"/>
    </row>
    <row r="635" ht="12.75">
      <c r="I635" s="74"/>
    </row>
    <row r="636" ht="12.75">
      <c r="I636" s="74"/>
    </row>
    <row r="637" ht="12.75">
      <c r="I637" s="74"/>
    </row>
    <row r="638" ht="12.75">
      <c r="I638" s="74"/>
    </row>
    <row r="639" ht="12.75">
      <c r="I639" s="74"/>
    </row>
    <row r="640" ht="12.75">
      <c r="I640" s="74"/>
    </row>
    <row r="641" ht="12.75">
      <c r="I641" s="74"/>
    </row>
    <row r="642" ht="12.75">
      <c r="I642" s="74"/>
    </row>
    <row r="643" ht="12.75">
      <c r="I643" s="74"/>
    </row>
    <row r="644" ht="12.75">
      <c r="I644" s="74"/>
    </row>
    <row r="645" ht="12.75">
      <c r="I645" s="74"/>
    </row>
    <row r="646" ht="12.75">
      <c r="I646" s="74"/>
    </row>
    <row r="647" ht="12.75">
      <c r="I647" s="74"/>
    </row>
    <row r="648" ht="12.75">
      <c r="I648" s="74"/>
    </row>
    <row r="649" ht="12.75">
      <c r="I649" s="74"/>
    </row>
    <row r="650" ht="12.75">
      <c r="I650" s="74"/>
    </row>
    <row r="651" ht="12.75">
      <c r="I651" s="74"/>
    </row>
    <row r="652" ht="12.75">
      <c r="I652" s="74"/>
    </row>
    <row r="653" ht="12.75">
      <c r="I653" s="74"/>
    </row>
    <row r="654" ht="12.75">
      <c r="I654" s="74"/>
    </row>
    <row r="655" ht="12.75">
      <c r="I655" s="74"/>
    </row>
    <row r="656" ht="12.75">
      <c r="I656" s="74"/>
    </row>
    <row r="657" ht="12.75">
      <c r="I657" s="74"/>
    </row>
    <row r="658" ht="12.75">
      <c r="I658" s="74"/>
    </row>
    <row r="659" ht="12.75">
      <c r="I659" s="74"/>
    </row>
    <row r="660" ht="12.75">
      <c r="I660" s="74"/>
    </row>
    <row r="661" ht="12.75">
      <c r="I661" s="74"/>
    </row>
    <row r="662" ht="12.75">
      <c r="I662" s="74"/>
    </row>
    <row r="663" ht="12.75">
      <c r="I663" s="74"/>
    </row>
    <row r="664" ht="12.75">
      <c r="I664" s="74"/>
    </row>
    <row r="665" ht="12.75">
      <c r="I665" s="74"/>
    </row>
    <row r="666" ht="12.75">
      <c r="I666" s="74"/>
    </row>
    <row r="667" ht="12.75">
      <c r="I667" s="74"/>
    </row>
    <row r="668" ht="12.75">
      <c r="I668" s="74"/>
    </row>
    <row r="669" ht="12.75">
      <c r="I669" s="74"/>
    </row>
    <row r="670" ht="12.75">
      <c r="I670" s="74"/>
    </row>
    <row r="671" ht="12.75">
      <c r="I671" s="74"/>
    </row>
    <row r="672" ht="12.75">
      <c r="I672" s="74"/>
    </row>
    <row r="673" ht="12.75">
      <c r="I673" s="74"/>
    </row>
    <row r="674" ht="12.75">
      <c r="I674" s="74"/>
    </row>
    <row r="675" ht="12.75">
      <c r="I675" s="74"/>
    </row>
    <row r="676" ht="12.75">
      <c r="I676" s="74"/>
    </row>
    <row r="677" ht="12.75">
      <c r="I677" s="74"/>
    </row>
    <row r="678" ht="12.75">
      <c r="I678" s="74"/>
    </row>
    <row r="679" ht="12.75">
      <c r="I679" s="74"/>
    </row>
    <row r="680" ht="12.75">
      <c r="I680" s="74"/>
    </row>
    <row r="681" ht="12.75">
      <c r="I681" s="74"/>
    </row>
    <row r="682" ht="12.75">
      <c r="I682" s="74"/>
    </row>
    <row r="683" ht="12.75">
      <c r="I683" s="74"/>
    </row>
    <row r="684" ht="12.75">
      <c r="I684" s="74"/>
    </row>
    <row r="685" ht="12.75">
      <c r="I685" s="74"/>
    </row>
    <row r="686" ht="12.75">
      <c r="I686" s="74"/>
    </row>
    <row r="687" ht="12.75">
      <c r="I687" s="74"/>
    </row>
    <row r="688" ht="12.75">
      <c r="I688" s="74"/>
    </row>
    <row r="689" ht="12.75">
      <c r="I689" s="74"/>
    </row>
    <row r="690" ht="12.75">
      <c r="I690" s="74"/>
    </row>
    <row r="691" ht="12.75">
      <c r="I691" s="74"/>
    </row>
    <row r="692" ht="12.75">
      <c r="I692" s="74"/>
    </row>
    <row r="693" ht="12.75">
      <c r="I693" s="74"/>
    </row>
    <row r="694" ht="12.75">
      <c r="I694" s="74"/>
    </row>
    <row r="695" ht="12.75">
      <c r="I695" s="74"/>
    </row>
    <row r="696" ht="12.75">
      <c r="I696" s="74"/>
    </row>
    <row r="697" ht="12.75">
      <c r="I697" s="74"/>
    </row>
    <row r="698" ht="12.75">
      <c r="I698" s="74"/>
    </row>
    <row r="699" ht="12.75">
      <c r="I699" s="74"/>
    </row>
    <row r="700" ht="12.75">
      <c r="I700" s="74"/>
    </row>
    <row r="701" ht="12.75">
      <c r="I701" s="74"/>
    </row>
    <row r="702" ht="12.75">
      <c r="I702" s="74"/>
    </row>
    <row r="703" ht="12.75">
      <c r="I703" s="74"/>
    </row>
    <row r="704" ht="12.75">
      <c r="I704" s="74"/>
    </row>
    <row r="705" ht="12.75">
      <c r="I705" s="74"/>
    </row>
    <row r="706" ht="12.75">
      <c r="I706" s="74"/>
    </row>
    <row r="707" ht="12.75">
      <c r="I707" s="74"/>
    </row>
    <row r="708" ht="12.75">
      <c r="I708" s="74"/>
    </row>
    <row r="709" ht="12.75">
      <c r="I709" s="74"/>
    </row>
    <row r="710" ht="12.75">
      <c r="I710" s="74"/>
    </row>
    <row r="711" ht="12.75">
      <c r="I711" s="74"/>
    </row>
    <row r="712" ht="12.75">
      <c r="I712" s="74"/>
    </row>
    <row r="713" ht="12.75">
      <c r="I713" s="74"/>
    </row>
    <row r="714" ht="12.75">
      <c r="I714" s="74"/>
    </row>
    <row r="715" ht="12.75">
      <c r="I715" s="74"/>
    </row>
    <row r="716" ht="12.75">
      <c r="I716" s="74"/>
    </row>
    <row r="717" ht="12.75">
      <c r="I717" s="74"/>
    </row>
    <row r="718" ht="12.75">
      <c r="I718" s="74"/>
    </row>
    <row r="719" ht="12.75">
      <c r="I719" s="74"/>
    </row>
    <row r="720" ht="12.75">
      <c r="I720" s="74"/>
    </row>
    <row r="721" ht="12.75">
      <c r="I721" s="74"/>
    </row>
    <row r="722" ht="12.75">
      <c r="I722" s="74"/>
    </row>
    <row r="723" ht="12.75">
      <c r="I723" s="74"/>
    </row>
    <row r="724" ht="12.75">
      <c r="I724" s="74"/>
    </row>
    <row r="725" ht="12.75">
      <c r="I725" s="74"/>
    </row>
    <row r="726" ht="12.75">
      <c r="I726" s="74"/>
    </row>
    <row r="727" ht="12.75">
      <c r="I727" s="74"/>
    </row>
    <row r="728" ht="12.75">
      <c r="I728" s="74"/>
    </row>
    <row r="729" ht="12.75">
      <c r="I729" s="74"/>
    </row>
    <row r="730" ht="12.75">
      <c r="I730" s="74"/>
    </row>
    <row r="731" ht="12.75">
      <c r="I731" s="74"/>
    </row>
    <row r="732" ht="12.75">
      <c r="I732" s="74"/>
    </row>
    <row r="733" ht="12.75">
      <c r="I733" s="74"/>
    </row>
    <row r="734" ht="12.75">
      <c r="I734" s="74"/>
    </row>
    <row r="735" ht="12.75">
      <c r="I735" s="74"/>
    </row>
    <row r="736" ht="12.75">
      <c r="I736" s="74"/>
    </row>
    <row r="737" ht="12.75">
      <c r="I737" s="74"/>
    </row>
    <row r="738" ht="12.75">
      <c r="I738" s="74"/>
    </row>
    <row r="739" ht="12.75">
      <c r="I739" s="74"/>
    </row>
    <row r="740" ht="12.75">
      <c r="I740" s="74"/>
    </row>
    <row r="741" ht="12.75">
      <c r="I741" s="74"/>
    </row>
    <row r="742" ht="12.75">
      <c r="I742" s="74"/>
    </row>
    <row r="743" ht="12.75">
      <c r="I743" s="74"/>
    </row>
    <row r="744" ht="12.75">
      <c r="I744" s="74"/>
    </row>
    <row r="745" ht="12.75">
      <c r="I745" s="74"/>
    </row>
    <row r="746" ht="12.75">
      <c r="I746" s="74"/>
    </row>
    <row r="747" ht="12.75">
      <c r="I747" s="74"/>
    </row>
    <row r="748" ht="12.75">
      <c r="I748" s="74"/>
    </row>
    <row r="749" ht="12.75">
      <c r="I749" s="74"/>
    </row>
    <row r="750" ht="12.75">
      <c r="I750" s="74"/>
    </row>
    <row r="751" ht="12.75">
      <c r="I751" s="74"/>
    </row>
    <row r="752" ht="12.75">
      <c r="I752" s="74"/>
    </row>
    <row r="753" ht="12.75">
      <c r="I753" s="74"/>
    </row>
    <row r="754" ht="12.75">
      <c r="I754" s="74"/>
    </row>
    <row r="755" ht="12.75">
      <c r="I755" s="74"/>
    </row>
    <row r="756" ht="12.75">
      <c r="I756" s="74"/>
    </row>
    <row r="757" ht="12.75">
      <c r="I757" s="74"/>
    </row>
    <row r="758" ht="12.75">
      <c r="I758" s="74"/>
    </row>
    <row r="759" ht="12.75">
      <c r="I759" s="74"/>
    </row>
    <row r="760" ht="12.75">
      <c r="I760" s="74"/>
    </row>
    <row r="761" ht="12.75">
      <c r="I761" s="74"/>
    </row>
    <row r="762" ht="12.75">
      <c r="I762" s="74"/>
    </row>
    <row r="763" ht="12.75">
      <c r="I763" s="74"/>
    </row>
    <row r="764" ht="12.75">
      <c r="I764" s="74"/>
    </row>
    <row r="765" ht="12.75">
      <c r="I765" s="74"/>
    </row>
    <row r="766" ht="12.75">
      <c r="I766" s="74"/>
    </row>
    <row r="767" ht="12.75">
      <c r="I767" s="74"/>
    </row>
    <row r="768" ht="12.75">
      <c r="I768" s="74"/>
    </row>
    <row r="769" ht="12.75">
      <c r="I769" s="74"/>
    </row>
    <row r="770" ht="12.75">
      <c r="I770" s="74"/>
    </row>
    <row r="771" ht="12.75">
      <c r="I771" s="74"/>
    </row>
    <row r="772" ht="12.75">
      <c r="I772" s="74"/>
    </row>
    <row r="773" ht="12.75">
      <c r="I773" s="74"/>
    </row>
    <row r="774" ht="12.75">
      <c r="I774" s="74"/>
    </row>
    <row r="775" ht="12.75">
      <c r="I775" s="74"/>
    </row>
    <row r="776" ht="12.75">
      <c r="I776" s="74"/>
    </row>
    <row r="777" ht="12.75">
      <c r="I777" s="74"/>
    </row>
    <row r="778" ht="12.75">
      <c r="I778" s="74"/>
    </row>
    <row r="779" ht="12.75">
      <c r="I779" s="74"/>
    </row>
    <row r="780" ht="12.75">
      <c r="I780" s="74"/>
    </row>
    <row r="781" ht="12.75">
      <c r="I781" s="74"/>
    </row>
    <row r="782" ht="12.75">
      <c r="I782" s="74"/>
    </row>
    <row r="783" ht="12.75">
      <c r="I783" s="74"/>
    </row>
    <row r="784" ht="12.75">
      <c r="I784" s="74"/>
    </row>
    <row r="785" ht="12.75">
      <c r="I785" s="74"/>
    </row>
    <row r="786" ht="12.75">
      <c r="I786" s="74"/>
    </row>
    <row r="787" ht="12.75">
      <c r="I787" s="74"/>
    </row>
    <row r="788" ht="12.75">
      <c r="I788" s="74"/>
    </row>
    <row r="789" ht="12.75">
      <c r="I789" s="74"/>
    </row>
    <row r="790" ht="12.75">
      <c r="I790" s="74"/>
    </row>
    <row r="791" ht="12.75">
      <c r="I791" s="74"/>
    </row>
    <row r="792" ht="12.75">
      <c r="I792" s="74"/>
    </row>
    <row r="793" ht="12.75">
      <c r="I793" s="74"/>
    </row>
    <row r="794" ht="12.75">
      <c r="I794" s="74"/>
    </row>
    <row r="795" ht="12.75">
      <c r="I795" s="74"/>
    </row>
    <row r="796" ht="12.75">
      <c r="I796" s="74"/>
    </row>
    <row r="797" ht="12.75">
      <c r="I797" s="74"/>
    </row>
    <row r="798" ht="12.75">
      <c r="I798" s="74"/>
    </row>
    <row r="799" ht="12.75">
      <c r="I799" s="74"/>
    </row>
    <row r="800" ht="12.75">
      <c r="I800" s="74"/>
    </row>
    <row r="801" ht="12.75">
      <c r="I801" s="74"/>
    </row>
    <row r="802" ht="12.75">
      <c r="I802" s="74"/>
    </row>
    <row r="803" ht="12.75">
      <c r="I803" s="74"/>
    </row>
    <row r="804" ht="12.75">
      <c r="I804" s="74"/>
    </row>
    <row r="805" ht="12.75">
      <c r="I805" s="74"/>
    </row>
    <row r="806" ht="12.75">
      <c r="I806" s="74"/>
    </row>
    <row r="807" ht="12.75">
      <c r="I807" s="74"/>
    </row>
    <row r="808" ht="12.75">
      <c r="I808" s="74"/>
    </row>
    <row r="809" ht="12.75">
      <c r="I809" s="74"/>
    </row>
    <row r="810" ht="12.75">
      <c r="I810" s="74"/>
    </row>
    <row r="811" ht="12.75">
      <c r="I811" s="74"/>
    </row>
    <row r="812" ht="12.75">
      <c r="I812" s="74"/>
    </row>
    <row r="813" ht="12.75">
      <c r="I813" s="74"/>
    </row>
    <row r="814" ht="12.75">
      <c r="I814" s="74"/>
    </row>
    <row r="815" ht="12.75">
      <c r="I815" s="74"/>
    </row>
    <row r="816" ht="12.75">
      <c r="I816" s="74"/>
    </row>
    <row r="817" ht="12.75">
      <c r="I817" s="74"/>
    </row>
    <row r="818" ht="12.75">
      <c r="I818" s="74"/>
    </row>
    <row r="819" ht="12.75">
      <c r="I819" s="74"/>
    </row>
    <row r="820" ht="12.75">
      <c r="I820" s="74"/>
    </row>
    <row r="821" ht="12.75">
      <c r="I821" s="74"/>
    </row>
    <row r="822" ht="12.75">
      <c r="I822" s="74"/>
    </row>
    <row r="823" ht="12.75">
      <c r="I823" s="74"/>
    </row>
    <row r="824" ht="12.75">
      <c r="I824" s="74"/>
    </row>
    <row r="825" ht="12.75">
      <c r="I825" s="74"/>
    </row>
    <row r="826" ht="12.75">
      <c r="I826" s="74"/>
    </row>
    <row r="827" ht="12.75">
      <c r="I827" s="74"/>
    </row>
    <row r="828" ht="12.75">
      <c r="I828" s="74"/>
    </row>
    <row r="829" ht="12.75">
      <c r="I829" s="74"/>
    </row>
    <row r="830" ht="12.75">
      <c r="I830" s="74"/>
    </row>
    <row r="831" ht="12.75">
      <c r="I831" s="74"/>
    </row>
    <row r="832" ht="12.75">
      <c r="I832" s="74"/>
    </row>
    <row r="833" ht="12.75">
      <c r="I833" s="74"/>
    </row>
    <row r="834" ht="12.75">
      <c r="I834" s="74"/>
    </row>
    <row r="835" ht="12.75">
      <c r="I835" s="74"/>
    </row>
    <row r="836" ht="12.75">
      <c r="I836" s="74"/>
    </row>
    <row r="837" ht="12.75">
      <c r="I837" s="74"/>
    </row>
    <row r="838" ht="12.75">
      <c r="I838" s="74"/>
    </row>
    <row r="839" ht="12.75">
      <c r="I839" s="74"/>
    </row>
    <row r="840" ht="12.75">
      <c r="I840" s="74"/>
    </row>
    <row r="841" ht="12.75">
      <c r="I841" s="74"/>
    </row>
    <row r="842" ht="12.75">
      <c r="I842" s="74"/>
    </row>
    <row r="843" ht="12.75">
      <c r="I843" s="74"/>
    </row>
    <row r="844" ht="12.75">
      <c r="I844" s="74"/>
    </row>
    <row r="845" ht="12.75">
      <c r="I845" s="74"/>
    </row>
    <row r="846" ht="12.75">
      <c r="I846" s="74"/>
    </row>
    <row r="847" ht="12.75">
      <c r="I847" s="74"/>
    </row>
    <row r="848" ht="12.75">
      <c r="I848" s="74"/>
    </row>
    <row r="849" ht="12.75">
      <c r="I849" s="74"/>
    </row>
    <row r="850" ht="12.75">
      <c r="I850" s="74"/>
    </row>
    <row r="851" ht="12.75">
      <c r="I851" s="74"/>
    </row>
    <row r="852" ht="12.75">
      <c r="I852" s="74"/>
    </row>
    <row r="853" ht="12.75">
      <c r="I853" s="74"/>
    </row>
    <row r="854" ht="12.75">
      <c r="I854" s="74"/>
    </row>
    <row r="855" ht="12.75">
      <c r="I855" s="74"/>
    </row>
    <row r="856" ht="12.75">
      <c r="I856" s="74"/>
    </row>
    <row r="857" ht="12.75">
      <c r="I857" s="74"/>
    </row>
    <row r="858" ht="12.75">
      <c r="I858" s="74"/>
    </row>
    <row r="859" ht="12.75">
      <c r="I859" s="74"/>
    </row>
    <row r="860" ht="12.75">
      <c r="I860" s="74"/>
    </row>
    <row r="861" ht="12.75">
      <c r="I861" s="74"/>
    </row>
    <row r="862" ht="12.75">
      <c r="I862" s="74"/>
    </row>
    <row r="863" ht="12.75">
      <c r="I863" s="74"/>
    </row>
    <row r="864" ht="12.75">
      <c r="I864" s="74"/>
    </row>
    <row r="865" ht="12.75">
      <c r="I865" s="74"/>
    </row>
    <row r="866" ht="12.75">
      <c r="I866" s="74"/>
    </row>
    <row r="867" ht="12.75">
      <c r="I867" s="74"/>
    </row>
    <row r="868" ht="12.75">
      <c r="I868" s="74"/>
    </row>
    <row r="869" ht="12.75">
      <c r="I869" s="74"/>
    </row>
    <row r="870" ht="12.75">
      <c r="I870" s="74"/>
    </row>
    <row r="871" ht="12.75">
      <c r="I871" s="74"/>
    </row>
    <row r="872" ht="12.75">
      <c r="I872" s="74"/>
    </row>
    <row r="873" ht="12.75">
      <c r="I873" s="74"/>
    </row>
    <row r="874" ht="12.75">
      <c r="I874" s="74"/>
    </row>
    <row r="875" ht="12.75">
      <c r="I875" s="74"/>
    </row>
    <row r="876" ht="12.75">
      <c r="I876" s="74"/>
    </row>
    <row r="877" ht="12.75">
      <c r="I877" s="74"/>
    </row>
    <row r="878" ht="12.75">
      <c r="I878" s="74"/>
    </row>
    <row r="879" ht="12.75">
      <c r="I879" s="74"/>
    </row>
    <row r="880" ht="12.75">
      <c r="I880" s="74"/>
    </row>
    <row r="881" ht="12.75">
      <c r="I881" s="74"/>
    </row>
    <row r="882" ht="12.75">
      <c r="I882" s="74"/>
    </row>
    <row r="883" ht="12.75">
      <c r="I883" s="74"/>
    </row>
    <row r="884" ht="12.75">
      <c r="I884" s="74"/>
    </row>
    <row r="885" ht="12.75">
      <c r="I885" s="74"/>
    </row>
    <row r="886" ht="12.75">
      <c r="I886" s="74"/>
    </row>
    <row r="887" ht="12.75">
      <c r="I887" s="74"/>
    </row>
    <row r="888" ht="12.75">
      <c r="I888" s="74"/>
    </row>
    <row r="889" ht="12.75">
      <c r="I889" s="74"/>
    </row>
    <row r="890" ht="12.75">
      <c r="I890" s="74"/>
    </row>
    <row r="891" ht="12.75">
      <c r="I891" s="74"/>
    </row>
    <row r="892" ht="12.75">
      <c r="I892" s="74"/>
    </row>
    <row r="893" ht="12.75">
      <c r="I893" s="74"/>
    </row>
    <row r="894" ht="12.75">
      <c r="I894" s="74"/>
    </row>
    <row r="895" ht="12.75">
      <c r="I895" s="74"/>
    </row>
    <row r="896" ht="12.75">
      <c r="I896" s="74"/>
    </row>
    <row r="897" ht="12.75">
      <c r="I897" s="74"/>
    </row>
    <row r="898" ht="12.75">
      <c r="I898" s="74"/>
    </row>
    <row r="899" ht="12.75">
      <c r="I899" s="74"/>
    </row>
    <row r="900" ht="12.75">
      <c r="I900" s="74"/>
    </row>
    <row r="901" ht="12.75">
      <c r="I901" s="74"/>
    </row>
    <row r="902" ht="12.75">
      <c r="I902" s="74"/>
    </row>
    <row r="903" ht="12.75">
      <c r="I903" s="74"/>
    </row>
    <row r="904" ht="12.75">
      <c r="I904" s="74"/>
    </row>
    <row r="905" ht="12.75">
      <c r="I905" s="74"/>
    </row>
    <row r="906" ht="12.75">
      <c r="I906" s="74"/>
    </row>
    <row r="907" ht="12.75">
      <c r="I907" s="74"/>
    </row>
    <row r="908" ht="12.75">
      <c r="I908" s="74"/>
    </row>
    <row r="909" ht="12.75">
      <c r="I909" s="74"/>
    </row>
    <row r="910" ht="12.75">
      <c r="I910" s="74"/>
    </row>
    <row r="911" ht="12.75">
      <c r="I911" s="74"/>
    </row>
    <row r="912" ht="12.75">
      <c r="I912" s="74"/>
    </row>
    <row r="913" ht="12.75">
      <c r="I913" s="74"/>
    </row>
    <row r="914" ht="12.75">
      <c r="I914" s="74"/>
    </row>
    <row r="915" ht="12.75">
      <c r="I915" s="74"/>
    </row>
    <row r="916" ht="12.75">
      <c r="I916" s="74"/>
    </row>
    <row r="917" ht="12.75">
      <c r="I917" s="74"/>
    </row>
    <row r="918" ht="12.75">
      <c r="I918" s="74"/>
    </row>
    <row r="919" ht="12.75">
      <c r="I919" s="74"/>
    </row>
    <row r="920" ht="12.75">
      <c r="I920" s="74"/>
    </row>
    <row r="921" ht="12.75">
      <c r="I921" s="74"/>
    </row>
    <row r="922" ht="12.75">
      <c r="I922" s="74"/>
    </row>
    <row r="923" ht="12.75">
      <c r="I923" s="74"/>
    </row>
    <row r="924" ht="12.75">
      <c r="I924" s="74"/>
    </row>
    <row r="925" ht="12.75">
      <c r="I925" s="74"/>
    </row>
    <row r="926" ht="12.75">
      <c r="I926" s="74"/>
    </row>
    <row r="927" ht="12.75">
      <c r="I927" s="74"/>
    </row>
    <row r="928" ht="12.75">
      <c r="I928" s="74"/>
    </row>
    <row r="929" ht="12.75">
      <c r="I929" s="74"/>
    </row>
    <row r="930" ht="12.75">
      <c r="I930" s="74"/>
    </row>
    <row r="931" ht="12.75">
      <c r="I931" s="74"/>
    </row>
    <row r="932" ht="12.75">
      <c r="I932" s="74"/>
    </row>
    <row r="933" ht="12.75">
      <c r="I933" s="74"/>
    </row>
    <row r="934" ht="12.75">
      <c r="I934" s="74"/>
    </row>
    <row r="935" ht="12.75">
      <c r="I935" s="74"/>
    </row>
    <row r="936" ht="12.75">
      <c r="I936" s="74"/>
    </row>
    <row r="937" ht="12.75">
      <c r="I937" s="74"/>
    </row>
    <row r="938" ht="12.75">
      <c r="I938" s="74"/>
    </row>
    <row r="939" ht="12.75">
      <c r="I939" s="74"/>
    </row>
    <row r="940" ht="12.75">
      <c r="I940" s="74"/>
    </row>
    <row r="941" ht="12.75">
      <c r="I941" s="74"/>
    </row>
    <row r="942" ht="12.75">
      <c r="I942" s="74"/>
    </row>
    <row r="943" ht="12.75">
      <c r="I943" s="74"/>
    </row>
    <row r="944" ht="12.75">
      <c r="I944" s="74"/>
    </row>
    <row r="945" ht="12.75">
      <c r="I945" s="74"/>
    </row>
    <row r="946" ht="12.75">
      <c r="I946" s="74"/>
    </row>
    <row r="947" ht="12.75">
      <c r="I947" s="74"/>
    </row>
    <row r="948" ht="12.75">
      <c r="I948" s="74"/>
    </row>
    <row r="949" ht="12.75">
      <c r="I949" s="74"/>
    </row>
    <row r="950" ht="12.75">
      <c r="I950" s="74"/>
    </row>
    <row r="951" ht="12.75">
      <c r="I951" s="74"/>
    </row>
    <row r="952" ht="12.75">
      <c r="I952" s="74"/>
    </row>
    <row r="953" ht="12.75">
      <c r="I953" s="74"/>
    </row>
    <row r="954" ht="12.75">
      <c r="I954" s="74"/>
    </row>
    <row r="955" ht="12.75">
      <c r="I955" s="74"/>
    </row>
    <row r="956" ht="12.75">
      <c r="I956" s="74"/>
    </row>
    <row r="957" ht="12.75">
      <c r="I957" s="74"/>
    </row>
    <row r="958" ht="12.75">
      <c r="I958" s="74"/>
    </row>
    <row r="959" ht="12.75">
      <c r="I959" s="74"/>
    </row>
    <row r="960" ht="12.75">
      <c r="I960" s="74"/>
    </row>
    <row r="961" ht="12.75">
      <c r="I961" s="74"/>
    </row>
    <row r="962" ht="12.75">
      <c r="I962" s="74"/>
    </row>
    <row r="963" ht="12.75">
      <c r="I963" s="74"/>
    </row>
    <row r="964" ht="12.75">
      <c r="I964" s="74"/>
    </row>
    <row r="965" ht="12.75">
      <c r="I965" s="74"/>
    </row>
    <row r="966" ht="12.75">
      <c r="I966" s="74"/>
    </row>
    <row r="967" ht="12.75">
      <c r="I967" s="74"/>
    </row>
    <row r="968" ht="12.75">
      <c r="I968" s="74"/>
    </row>
    <row r="969" ht="12.75">
      <c r="I969" s="74"/>
    </row>
    <row r="970" ht="12.75">
      <c r="I970" s="74"/>
    </row>
    <row r="971" ht="12.75">
      <c r="I971" s="74"/>
    </row>
    <row r="972" ht="12.75">
      <c r="I972" s="74"/>
    </row>
    <row r="973" ht="12.75">
      <c r="I973" s="74"/>
    </row>
    <row r="974" ht="12.75">
      <c r="I974" s="74"/>
    </row>
    <row r="975" ht="12.75">
      <c r="I975" s="74"/>
    </row>
    <row r="976" ht="12.75">
      <c r="I976" s="74"/>
    </row>
    <row r="977" ht="12.75">
      <c r="I977" s="74"/>
    </row>
    <row r="978" ht="12.75">
      <c r="I978" s="74"/>
    </row>
    <row r="979" ht="12.75">
      <c r="I979" s="74"/>
    </row>
    <row r="980" ht="12.75">
      <c r="I980" s="74"/>
    </row>
    <row r="981" ht="12.75">
      <c r="I981" s="74"/>
    </row>
    <row r="982" ht="12.75">
      <c r="I982" s="74"/>
    </row>
    <row r="983" ht="12.75">
      <c r="I983" s="74"/>
    </row>
    <row r="984" ht="12.75">
      <c r="I984" s="74"/>
    </row>
    <row r="985" ht="12.75">
      <c r="I985" s="74"/>
    </row>
    <row r="986" ht="12.75">
      <c r="I986" s="74"/>
    </row>
    <row r="987" ht="12.75">
      <c r="I987" s="74"/>
    </row>
    <row r="988" ht="12.75">
      <c r="I988" s="74"/>
    </row>
    <row r="989" ht="12.75">
      <c r="I989" s="74"/>
    </row>
    <row r="990" ht="12.75">
      <c r="I990" s="74"/>
    </row>
    <row r="991" ht="12.75">
      <c r="I991" s="74"/>
    </row>
    <row r="992" ht="12.75">
      <c r="I992" s="74"/>
    </row>
    <row r="993" ht="12.75">
      <c r="I993" s="74"/>
    </row>
    <row r="994" ht="12.75">
      <c r="I994" s="74"/>
    </row>
    <row r="995" ht="12.75">
      <c r="I995" s="74"/>
    </row>
    <row r="996" ht="12.75">
      <c r="I996" s="74"/>
    </row>
    <row r="997" ht="12.75">
      <c r="I997" s="74"/>
    </row>
    <row r="998" ht="12.75">
      <c r="I998" s="74"/>
    </row>
    <row r="999" ht="12.75">
      <c r="I999" s="74"/>
    </row>
    <row r="1000" ht="12.75">
      <c r="I1000" s="74"/>
    </row>
    <row r="1001" ht="12.75">
      <c r="I1001" s="74"/>
    </row>
    <row r="1002" ht="12.75">
      <c r="I1002" s="74"/>
    </row>
    <row r="1003" ht="12.75">
      <c r="I1003" s="74"/>
    </row>
    <row r="1004" ht="12.75">
      <c r="I1004" s="74"/>
    </row>
    <row r="1005" ht="12.75">
      <c r="I1005" s="74"/>
    </row>
    <row r="1006" ht="12.75">
      <c r="I1006" s="74"/>
    </row>
    <row r="1007" ht="12.75">
      <c r="I1007" s="74"/>
    </row>
    <row r="1008" ht="12.75">
      <c r="I1008" s="74"/>
    </row>
    <row r="1009" ht="12.75">
      <c r="I1009" s="74"/>
    </row>
    <row r="1010" ht="12.75">
      <c r="I1010" s="74"/>
    </row>
    <row r="1011" ht="12.75">
      <c r="I1011" s="74"/>
    </row>
    <row r="1012" ht="12.75">
      <c r="I1012" s="74"/>
    </row>
    <row r="1013" ht="12.75">
      <c r="I1013" s="74"/>
    </row>
    <row r="1014" ht="12.75">
      <c r="I1014" s="74"/>
    </row>
    <row r="1015" ht="12.75">
      <c r="I1015" s="74"/>
    </row>
    <row r="1016" ht="12.75">
      <c r="I1016" s="74"/>
    </row>
    <row r="1017" ht="12.75">
      <c r="I1017" s="74"/>
    </row>
    <row r="1018" ht="12.75">
      <c r="I1018" s="74"/>
    </row>
    <row r="1019" ht="12.75">
      <c r="I1019" s="74"/>
    </row>
    <row r="1020" ht="12.75">
      <c r="I1020" s="74"/>
    </row>
    <row r="1021" ht="12.75">
      <c r="I1021" s="74"/>
    </row>
    <row r="1022" ht="12.75">
      <c r="I1022" s="74"/>
    </row>
    <row r="1023" ht="12.75">
      <c r="I1023" s="74"/>
    </row>
    <row r="1024" ht="12.75">
      <c r="I1024" s="74"/>
    </row>
    <row r="1025" ht="12.75">
      <c r="I1025" s="74"/>
    </row>
    <row r="1026" ht="12.75">
      <c r="I1026" s="74"/>
    </row>
    <row r="1027" ht="12.75">
      <c r="I1027" s="74"/>
    </row>
    <row r="1028" ht="12.75">
      <c r="I1028" s="74"/>
    </row>
    <row r="1029" ht="12.75">
      <c r="I1029" s="74"/>
    </row>
    <row r="1030" ht="12.75">
      <c r="I1030" s="74"/>
    </row>
    <row r="1031" ht="12.75">
      <c r="I1031" s="74"/>
    </row>
    <row r="1032" ht="12.75">
      <c r="I1032" s="74"/>
    </row>
    <row r="1033" ht="12.75">
      <c r="I1033" s="74"/>
    </row>
    <row r="1034" ht="12.75">
      <c r="I1034" s="74"/>
    </row>
    <row r="1035" ht="12.75">
      <c r="I1035" s="74"/>
    </row>
    <row r="1036" ht="12.75">
      <c r="I1036" s="74"/>
    </row>
    <row r="1037" ht="12.75">
      <c r="I1037" s="74"/>
    </row>
    <row r="1038" ht="12.75">
      <c r="I1038" s="74"/>
    </row>
    <row r="1039" ht="12.75">
      <c r="I1039" s="74"/>
    </row>
    <row r="1040" ht="12.75">
      <c r="I1040" s="74"/>
    </row>
    <row r="1041" ht="12.75">
      <c r="I1041" s="74"/>
    </row>
    <row r="1042" ht="12.75">
      <c r="I1042" s="74"/>
    </row>
    <row r="1043" ht="12.75">
      <c r="I1043" s="74"/>
    </row>
    <row r="1044" ht="12.75">
      <c r="I1044" s="74"/>
    </row>
    <row r="1045" ht="12.75">
      <c r="I1045" s="74"/>
    </row>
    <row r="1046" ht="12.75">
      <c r="I1046" s="74"/>
    </row>
    <row r="1047" ht="12.75">
      <c r="I1047" s="74"/>
    </row>
    <row r="1048" ht="12.75">
      <c r="I1048" s="74"/>
    </row>
    <row r="1049" ht="12.75">
      <c r="I1049" s="74"/>
    </row>
    <row r="1050" ht="12.75">
      <c r="I1050" s="74"/>
    </row>
    <row r="1051" ht="12.75">
      <c r="I1051" s="74"/>
    </row>
    <row r="1052" ht="12.75">
      <c r="I1052" s="74"/>
    </row>
    <row r="1053" ht="12.75">
      <c r="I1053" s="74"/>
    </row>
    <row r="1054" ht="12.75">
      <c r="I1054" s="74"/>
    </row>
    <row r="1055" ht="12.75">
      <c r="I1055" s="74"/>
    </row>
    <row r="1056" ht="12.75">
      <c r="I1056" s="74"/>
    </row>
    <row r="1057" ht="12.75">
      <c r="I1057" s="74"/>
    </row>
    <row r="1058" ht="12.75">
      <c r="I1058" s="74"/>
    </row>
    <row r="1059" ht="12.75">
      <c r="I1059" s="74"/>
    </row>
    <row r="1060" ht="12.75">
      <c r="I1060" s="74"/>
    </row>
    <row r="1061" ht="12.75">
      <c r="I1061" s="74"/>
    </row>
    <row r="1062" ht="12.75">
      <c r="I1062" s="74"/>
    </row>
    <row r="1063" ht="12.75">
      <c r="I1063" s="74"/>
    </row>
    <row r="1064" ht="12.75">
      <c r="I1064" s="74"/>
    </row>
    <row r="1065" ht="12.75">
      <c r="I1065" s="74"/>
    </row>
    <row r="1066" ht="12.75">
      <c r="I1066" s="74"/>
    </row>
    <row r="1067" ht="12.75">
      <c r="I1067" s="74"/>
    </row>
    <row r="1068" ht="12.75">
      <c r="I1068" s="74"/>
    </row>
    <row r="1069" ht="12.75">
      <c r="I1069" s="74"/>
    </row>
    <row r="1070" ht="12.75">
      <c r="I1070" s="74"/>
    </row>
    <row r="1071" ht="12.75">
      <c r="I1071" s="74"/>
    </row>
    <row r="1072" ht="12.75">
      <c r="I1072" s="74"/>
    </row>
    <row r="1073" ht="12.75">
      <c r="I1073" s="74"/>
    </row>
    <row r="1074" ht="12.75">
      <c r="I1074" s="74"/>
    </row>
    <row r="1075" ht="12.75">
      <c r="I1075" s="74"/>
    </row>
    <row r="1076" ht="12.75">
      <c r="I1076" s="74"/>
    </row>
    <row r="1077" ht="12.75">
      <c r="I1077" s="74"/>
    </row>
    <row r="1078" ht="12.75">
      <c r="I1078" s="74"/>
    </row>
    <row r="1079" ht="12.75">
      <c r="I1079" s="74"/>
    </row>
    <row r="1080" ht="12.75">
      <c r="I1080" s="74"/>
    </row>
    <row r="1081" ht="12.75">
      <c r="I1081" s="74"/>
    </row>
    <row r="1082" ht="12.75">
      <c r="I1082" s="74"/>
    </row>
    <row r="1083" ht="12.75">
      <c r="I1083" s="74"/>
    </row>
    <row r="1084" ht="12.75">
      <c r="I1084" s="74"/>
    </row>
    <row r="1085" ht="12.75">
      <c r="I1085" s="74"/>
    </row>
    <row r="1086" ht="12.75">
      <c r="I1086" s="74"/>
    </row>
    <row r="1087" ht="12.75">
      <c r="I1087" s="74"/>
    </row>
    <row r="1088" ht="12.75">
      <c r="I1088" s="74"/>
    </row>
    <row r="1089" ht="12.75">
      <c r="I1089" s="74"/>
    </row>
    <row r="1090" ht="12.75">
      <c r="I1090" s="74"/>
    </row>
    <row r="1091" ht="12.75">
      <c r="I1091" s="74"/>
    </row>
    <row r="1092" ht="12.75">
      <c r="I1092" s="74"/>
    </row>
    <row r="1093" ht="12.75">
      <c r="I1093" s="74"/>
    </row>
    <row r="1094" ht="12.75">
      <c r="I1094" s="74"/>
    </row>
    <row r="1095" ht="12.75">
      <c r="I1095" s="74"/>
    </row>
    <row r="1096" ht="12.75">
      <c r="I1096" s="74"/>
    </row>
    <row r="1097" ht="12.75">
      <c r="I1097" s="74"/>
    </row>
    <row r="1098" ht="12.75">
      <c r="I1098" s="74"/>
    </row>
    <row r="1099" ht="12.75">
      <c r="I1099" s="74"/>
    </row>
    <row r="1100" ht="12.75">
      <c r="I1100" s="74"/>
    </row>
    <row r="1101" ht="12.75">
      <c r="I1101" s="74"/>
    </row>
    <row r="1102" ht="12.75">
      <c r="I1102" s="74"/>
    </row>
    <row r="1103" ht="12.75">
      <c r="I1103" s="74"/>
    </row>
    <row r="1104" ht="12.75">
      <c r="I1104" s="74"/>
    </row>
    <row r="1105" ht="12.75">
      <c r="I1105" s="74"/>
    </row>
    <row r="1106" ht="12.75">
      <c r="I1106" s="74"/>
    </row>
    <row r="1107" ht="12.75">
      <c r="I1107" s="74"/>
    </row>
    <row r="1108" ht="12.75">
      <c r="I1108" s="74"/>
    </row>
    <row r="1109" ht="12.75">
      <c r="I1109" s="74"/>
    </row>
    <row r="1110" ht="12.75">
      <c r="I1110" s="74"/>
    </row>
    <row r="1111" ht="12.75">
      <c r="I1111" s="74"/>
    </row>
    <row r="1112" ht="12.75">
      <c r="I1112" s="74"/>
    </row>
    <row r="1113" ht="12.75">
      <c r="I1113" s="74"/>
    </row>
    <row r="1114" ht="12.75">
      <c r="I1114" s="74"/>
    </row>
    <row r="1115" ht="12.75">
      <c r="I1115" s="74"/>
    </row>
    <row r="1116" ht="12.75">
      <c r="I1116" s="74"/>
    </row>
    <row r="1117" ht="12.75">
      <c r="I1117" s="74"/>
    </row>
    <row r="1118" ht="12.75">
      <c r="I1118" s="74"/>
    </row>
    <row r="1119" ht="12.75">
      <c r="I1119" s="74"/>
    </row>
    <row r="1120" ht="12.75">
      <c r="I1120" s="74"/>
    </row>
    <row r="1121" ht="12.75">
      <c r="I1121" s="74"/>
    </row>
    <row r="1122" ht="12.75">
      <c r="I1122" s="74"/>
    </row>
    <row r="1123" ht="12.75">
      <c r="I1123" s="74"/>
    </row>
    <row r="1124" ht="12.75">
      <c r="I1124" s="74"/>
    </row>
    <row r="1125" ht="12.75">
      <c r="I1125" s="74"/>
    </row>
    <row r="1126" ht="12.75">
      <c r="I1126" s="74"/>
    </row>
    <row r="1127" ht="12.75">
      <c r="I1127" s="74"/>
    </row>
    <row r="1128" ht="12.75">
      <c r="I1128" s="74"/>
    </row>
    <row r="1129" ht="12.75">
      <c r="I1129" s="74"/>
    </row>
    <row r="1130" ht="12.75">
      <c r="I1130" s="74"/>
    </row>
    <row r="1131" ht="12.75">
      <c r="I1131" s="74"/>
    </row>
    <row r="1132" ht="12.75">
      <c r="I1132" s="74"/>
    </row>
    <row r="1133" ht="12.75">
      <c r="I1133" s="74"/>
    </row>
    <row r="1134" ht="12.75">
      <c r="I1134" s="74"/>
    </row>
    <row r="1135" ht="12.75">
      <c r="I1135" s="74"/>
    </row>
    <row r="1136" ht="12.75">
      <c r="I1136" s="74"/>
    </row>
    <row r="1137" ht="12.75">
      <c r="I1137" s="74"/>
    </row>
    <row r="1138" ht="12.75">
      <c r="I1138" s="74"/>
    </row>
    <row r="1139" ht="12.75">
      <c r="I1139" s="74"/>
    </row>
    <row r="1140" ht="12.75">
      <c r="I1140" s="74"/>
    </row>
    <row r="1141" ht="12.75">
      <c r="I1141" s="74"/>
    </row>
    <row r="1142" ht="12.75">
      <c r="I1142" s="74"/>
    </row>
    <row r="1143" ht="12.75">
      <c r="I1143" s="74"/>
    </row>
    <row r="1144" ht="12.75">
      <c r="I1144" s="74"/>
    </row>
    <row r="1145" ht="12.75">
      <c r="I1145" s="74"/>
    </row>
    <row r="1146" ht="12.75">
      <c r="I1146" s="74"/>
    </row>
    <row r="1147" ht="12.75">
      <c r="I1147" s="74"/>
    </row>
    <row r="1148" ht="12.75">
      <c r="I1148" s="74"/>
    </row>
    <row r="1149" ht="12.75">
      <c r="I1149" s="74"/>
    </row>
    <row r="1150" ht="12.75">
      <c r="I1150" s="74"/>
    </row>
    <row r="1151" ht="12.75">
      <c r="I1151" s="74"/>
    </row>
    <row r="1152" ht="12.75">
      <c r="I1152" s="74"/>
    </row>
    <row r="1153" ht="12.75">
      <c r="I1153" s="74"/>
    </row>
    <row r="1154" ht="12.75">
      <c r="I1154" s="74"/>
    </row>
    <row r="1155" ht="12.75">
      <c r="I1155" s="74"/>
    </row>
    <row r="1156" ht="12.75">
      <c r="I1156" s="74"/>
    </row>
    <row r="1157" ht="12.75">
      <c r="I1157" s="74"/>
    </row>
    <row r="1158" ht="12.75">
      <c r="I1158" s="74"/>
    </row>
    <row r="1159" ht="12.75">
      <c r="I1159" s="74"/>
    </row>
    <row r="1160" ht="12.75">
      <c r="I1160" s="74"/>
    </row>
    <row r="1161" ht="12.75">
      <c r="I1161" s="74"/>
    </row>
    <row r="1162" ht="12.75">
      <c r="I1162" s="74"/>
    </row>
    <row r="1163" ht="12.75">
      <c r="I1163" s="74"/>
    </row>
    <row r="1164" ht="12.75">
      <c r="I1164" s="74"/>
    </row>
    <row r="1165" ht="12.75">
      <c r="I1165" s="74"/>
    </row>
    <row r="1166" ht="12.75">
      <c r="I1166" s="74"/>
    </row>
    <row r="1167" ht="12.75">
      <c r="I1167" s="74"/>
    </row>
    <row r="1168" ht="12.75">
      <c r="I1168" s="74"/>
    </row>
    <row r="1169" ht="12.75">
      <c r="I1169" s="74"/>
    </row>
    <row r="1170" ht="12.75">
      <c r="I1170" s="74"/>
    </row>
    <row r="1171" ht="12.75">
      <c r="I1171" s="74"/>
    </row>
    <row r="1172" ht="12.75">
      <c r="I1172" s="74"/>
    </row>
    <row r="1173" ht="12.75">
      <c r="I1173" s="74"/>
    </row>
    <row r="1174" ht="12.75">
      <c r="I1174" s="74"/>
    </row>
    <row r="1175" ht="12.75">
      <c r="I1175" s="74"/>
    </row>
    <row r="1176" ht="12.75">
      <c r="I1176" s="74"/>
    </row>
    <row r="1177" ht="12.75">
      <c r="I1177" s="74"/>
    </row>
    <row r="1178" ht="12.75">
      <c r="I1178" s="74"/>
    </row>
    <row r="1179" ht="12.75">
      <c r="I1179" s="74"/>
    </row>
    <row r="1180" ht="12.75">
      <c r="I1180" s="74"/>
    </row>
    <row r="1181" ht="12.75">
      <c r="I1181" s="74"/>
    </row>
    <row r="1182" ht="12.75">
      <c r="I1182" s="74"/>
    </row>
    <row r="1183" ht="12.75">
      <c r="I1183" s="74"/>
    </row>
    <row r="1184" ht="12.75">
      <c r="I1184" s="74"/>
    </row>
    <row r="1185" ht="12.75">
      <c r="I1185" s="74"/>
    </row>
    <row r="1186" ht="12.75">
      <c r="I1186" s="74"/>
    </row>
    <row r="1187" ht="12.75">
      <c r="I1187" s="74"/>
    </row>
    <row r="1188" ht="12.75">
      <c r="I1188" s="74"/>
    </row>
    <row r="1189" ht="12.75">
      <c r="I1189" s="74"/>
    </row>
    <row r="1190" ht="12.75">
      <c r="I1190" s="74"/>
    </row>
    <row r="1191" ht="12.75">
      <c r="I1191" s="74"/>
    </row>
    <row r="1192" ht="12.75">
      <c r="I1192" s="74"/>
    </row>
    <row r="1193" ht="12.75">
      <c r="I1193" s="74"/>
    </row>
    <row r="1194" ht="12.75">
      <c r="I1194" s="74"/>
    </row>
    <row r="1195" ht="12.75">
      <c r="I1195" s="74"/>
    </row>
    <row r="1196" ht="12.75">
      <c r="I1196" s="74"/>
    </row>
    <row r="1197" ht="12.75">
      <c r="I1197" s="74"/>
    </row>
    <row r="1198" ht="12.75">
      <c r="I1198" s="74"/>
    </row>
    <row r="1199" ht="12.75">
      <c r="I1199" s="74"/>
    </row>
    <row r="1200" ht="12.75">
      <c r="I1200" s="74"/>
    </row>
    <row r="1201" ht="12.75">
      <c r="I1201" s="74"/>
    </row>
    <row r="1202" ht="12.75">
      <c r="I1202" s="74"/>
    </row>
    <row r="1203" ht="12.75">
      <c r="I1203" s="74"/>
    </row>
    <row r="1204" ht="12.75">
      <c r="I1204" s="74"/>
    </row>
    <row r="1205" ht="12.75">
      <c r="I1205" s="74"/>
    </row>
    <row r="1206" ht="12.75">
      <c r="I1206" s="74"/>
    </row>
    <row r="1207" ht="12.75">
      <c r="I1207" s="74"/>
    </row>
    <row r="1208" ht="12.75">
      <c r="I1208" s="74"/>
    </row>
    <row r="1209" ht="12.75">
      <c r="I1209" s="74"/>
    </row>
    <row r="1210" ht="12.75">
      <c r="I1210" s="74"/>
    </row>
    <row r="1211" ht="12.75">
      <c r="I1211" s="74"/>
    </row>
    <row r="1212" ht="12.75">
      <c r="I1212" s="74"/>
    </row>
    <row r="1213" ht="12.75">
      <c r="I1213" s="74"/>
    </row>
    <row r="1214" ht="12.75">
      <c r="I1214" s="74"/>
    </row>
    <row r="1215" ht="12.75">
      <c r="I1215" s="74"/>
    </row>
    <row r="1216" ht="12.75">
      <c r="I1216" s="74"/>
    </row>
    <row r="1217" ht="12.75">
      <c r="I1217" s="74"/>
    </row>
    <row r="1218" ht="12.75">
      <c r="I1218" s="74"/>
    </row>
    <row r="1219" ht="12.75">
      <c r="I1219" s="74"/>
    </row>
    <row r="1220" ht="12.75">
      <c r="I1220" s="74"/>
    </row>
    <row r="1221" ht="12.75">
      <c r="I1221" s="74"/>
    </row>
    <row r="1222" ht="12.75">
      <c r="I1222" s="74"/>
    </row>
    <row r="1223" ht="12.75">
      <c r="I1223" s="74"/>
    </row>
    <row r="1224" ht="12.75">
      <c r="I1224" s="74"/>
    </row>
    <row r="1225" ht="12.75">
      <c r="I1225" s="74"/>
    </row>
    <row r="1226" ht="12.75">
      <c r="I1226" s="74"/>
    </row>
    <row r="1227" ht="12.75">
      <c r="I1227" s="74"/>
    </row>
    <row r="1228" ht="12.75">
      <c r="I1228" s="74"/>
    </row>
    <row r="1229" ht="12.75">
      <c r="I1229" s="74"/>
    </row>
    <row r="1230" ht="12.75">
      <c r="I1230" s="74"/>
    </row>
    <row r="1231" ht="12.75">
      <c r="I1231" s="74"/>
    </row>
    <row r="1232" ht="12.75">
      <c r="I1232" s="74"/>
    </row>
    <row r="1233" ht="12.75">
      <c r="I1233" s="74"/>
    </row>
    <row r="1234" ht="12.75">
      <c r="I1234" s="74"/>
    </row>
    <row r="1235" ht="12.75">
      <c r="I1235" s="74"/>
    </row>
    <row r="1236" ht="12.75">
      <c r="I1236" s="74"/>
    </row>
    <row r="1237" ht="12.75">
      <c r="I1237" s="74"/>
    </row>
    <row r="1238" ht="12.75">
      <c r="I1238" s="74"/>
    </row>
    <row r="1239" ht="12.75">
      <c r="I1239" s="74"/>
    </row>
    <row r="1240" ht="12.75">
      <c r="I1240" s="74"/>
    </row>
    <row r="1241" ht="12.75">
      <c r="I1241" s="74"/>
    </row>
    <row r="1242" ht="12.75">
      <c r="I1242" s="74"/>
    </row>
    <row r="1243" ht="12.75">
      <c r="I1243" s="74"/>
    </row>
    <row r="1244" ht="12.75">
      <c r="I1244" s="74"/>
    </row>
    <row r="1245" ht="12.75">
      <c r="I1245" s="74"/>
    </row>
    <row r="1246" ht="12.75">
      <c r="I1246" s="74"/>
    </row>
    <row r="1247" ht="12.75">
      <c r="I1247" s="74"/>
    </row>
    <row r="1248" ht="12.75">
      <c r="I1248" s="74"/>
    </row>
    <row r="1249" ht="12.75">
      <c r="I1249" s="74"/>
    </row>
    <row r="1250" ht="12.75">
      <c r="I1250" s="74"/>
    </row>
    <row r="1251" ht="12.75">
      <c r="I1251" s="74"/>
    </row>
    <row r="1252" ht="12.75">
      <c r="I1252" s="74"/>
    </row>
    <row r="1253" ht="12.75">
      <c r="I1253" s="74"/>
    </row>
    <row r="1254" ht="12.75">
      <c r="I1254" s="74"/>
    </row>
    <row r="1255" ht="12.75">
      <c r="I1255" s="74"/>
    </row>
    <row r="1256" ht="12.75">
      <c r="I1256" s="74"/>
    </row>
  </sheetData>
  <sheetProtection/>
  <mergeCells count="345"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J4:M5"/>
    <mergeCell ref="A6:B7"/>
    <mergeCell ref="C6:D7"/>
    <mergeCell ref="E6:F7"/>
    <mergeCell ref="G6:H7"/>
    <mergeCell ref="I6:I7"/>
    <mergeCell ref="J6:M7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4:M14"/>
    <mergeCell ref="C15:F15"/>
    <mergeCell ref="C16:F16"/>
    <mergeCell ref="C17:M17"/>
    <mergeCell ref="C18:M18"/>
    <mergeCell ref="C19:M19"/>
    <mergeCell ref="C20:F20"/>
    <mergeCell ref="C21:M21"/>
    <mergeCell ref="C22:M22"/>
    <mergeCell ref="C23:M23"/>
    <mergeCell ref="C24:F24"/>
    <mergeCell ref="C25:M25"/>
    <mergeCell ref="C26:F26"/>
    <mergeCell ref="C27:F27"/>
    <mergeCell ref="C28:M28"/>
    <mergeCell ref="C29:F29"/>
    <mergeCell ref="C30:F30"/>
    <mergeCell ref="C31:M31"/>
    <mergeCell ref="C32:F32"/>
    <mergeCell ref="C33:M33"/>
    <mergeCell ref="C34:M34"/>
    <mergeCell ref="C35:F35"/>
    <mergeCell ref="C36:M36"/>
    <mergeCell ref="C37:M37"/>
    <mergeCell ref="C38:F38"/>
    <mergeCell ref="C39:M39"/>
    <mergeCell ref="C40:M40"/>
    <mergeCell ref="C41:F41"/>
    <mergeCell ref="C42:F42"/>
    <mergeCell ref="C43:M43"/>
    <mergeCell ref="C44:M44"/>
    <mergeCell ref="C45:F45"/>
    <mergeCell ref="C46:M46"/>
    <mergeCell ref="C47:F47"/>
    <mergeCell ref="C48:F48"/>
    <mergeCell ref="C49:M49"/>
    <mergeCell ref="C50:F50"/>
    <mergeCell ref="C51:M51"/>
    <mergeCell ref="C52:M52"/>
    <mergeCell ref="C53:F53"/>
    <mergeCell ref="C54:M54"/>
    <mergeCell ref="C55:M55"/>
    <mergeCell ref="C56:F56"/>
    <mergeCell ref="C57:F57"/>
    <mergeCell ref="C58:M58"/>
    <mergeCell ref="C59:M59"/>
    <mergeCell ref="C60:M60"/>
    <mergeCell ref="C61:F61"/>
    <mergeCell ref="C62:M62"/>
    <mergeCell ref="C63:M63"/>
    <mergeCell ref="C64:M64"/>
    <mergeCell ref="C65:F65"/>
    <mergeCell ref="C66:M66"/>
    <mergeCell ref="C67:M67"/>
    <mergeCell ref="C68:M68"/>
    <mergeCell ref="C69:F69"/>
    <mergeCell ref="C70:F70"/>
    <mergeCell ref="C71:M71"/>
    <mergeCell ref="C72:M72"/>
    <mergeCell ref="C73:M73"/>
    <mergeCell ref="C74:F74"/>
    <mergeCell ref="C75:M75"/>
    <mergeCell ref="C76:M76"/>
    <mergeCell ref="C77:F77"/>
    <mergeCell ref="C78:M78"/>
    <mergeCell ref="C79:M79"/>
    <mergeCell ref="C80:F80"/>
    <mergeCell ref="C81:M81"/>
    <mergeCell ref="C82:M82"/>
    <mergeCell ref="C83:F83"/>
    <mergeCell ref="C84:M84"/>
    <mergeCell ref="C85:M85"/>
    <mergeCell ref="C86:F86"/>
    <mergeCell ref="C87:F87"/>
    <mergeCell ref="C88:M88"/>
    <mergeCell ref="C89:M89"/>
    <mergeCell ref="C90:F90"/>
    <mergeCell ref="C91:F91"/>
    <mergeCell ref="C92:F92"/>
    <mergeCell ref="C93:F93"/>
    <mergeCell ref="C94:F94"/>
    <mergeCell ref="C95:M95"/>
    <mergeCell ref="C96:F96"/>
    <mergeCell ref="C97:F97"/>
    <mergeCell ref="C98:F98"/>
    <mergeCell ref="C99:F99"/>
    <mergeCell ref="C100:M100"/>
    <mergeCell ref="C101:M101"/>
    <mergeCell ref="C102:F102"/>
    <mergeCell ref="C103:M103"/>
    <mergeCell ref="C104:M104"/>
    <mergeCell ref="C105:F105"/>
    <mergeCell ref="C106:F106"/>
    <mergeCell ref="C107:F107"/>
    <mergeCell ref="C108:F108"/>
    <mergeCell ref="C109:F109"/>
    <mergeCell ref="C110:F110"/>
    <mergeCell ref="C111:M111"/>
    <mergeCell ref="C112:M112"/>
    <mergeCell ref="C113:F113"/>
    <mergeCell ref="C114:F114"/>
    <mergeCell ref="C115:F115"/>
    <mergeCell ref="C116:F116"/>
    <mergeCell ref="C117:F117"/>
    <mergeCell ref="C118:F118"/>
    <mergeCell ref="C119:M119"/>
    <mergeCell ref="C120:M120"/>
    <mergeCell ref="C121:F121"/>
    <mergeCell ref="C122:F122"/>
    <mergeCell ref="C123:F123"/>
    <mergeCell ref="C124:M124"/>
    <mergeCell ref="C125:F125"/>
    <mergeCell ref="C126:F126"/>
    <mergeCell ref="C127:M127"/>
    <mergeCell ref="C128:M128"/>
    <mergeCell ref="C129:F129"/>
    <mergeCell ref="C130:F130"/>
    <mergeCell ref="C131:F131"/>
    <mergeCell ref="C132:F132"/>
    <mergeCell ref="C133:F133"/>
    <mergeCell ref="C134:M134"/>
    <mergeCell ref="C135:F135"/>
    <mergeCell ref="C136:M136"/>
    <mergeCell ref="C137:M137"/>
    <mergeCell ref="C138:F138"/>
    <mergeCell ref="C139:M139"/>
    <mergeCell ref="C140:F140"/>
    <mergeCell ref="C141:M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M152"/>
    <mergeCell ref="C153:F153"/>
    <mergeCell ref="C154:M154"/>
    <mergeCell ref="C155:F155"/>
    <mergeCell ref="C156:M156"/>
    <mergeCell ref="C157:F157"/>
    <mergeCell ref="C158:M158"/>
    <mergeCell ref="C159:M159"/>
    <mergeCell ref="C160:M160"/>
    <mergeCell ref="C161:F161"/>
    <mergeCell ref="C162:F162"/>
    <mergeCell ref="C163:F163"/>
    <mergeCell ref="C164:M164"/>
    <mergeCell ref="C165:M165"/>
    <mergeCell ref="C166:F166"/>
    <mergeCell ref="C167:M167"/>
    <mergeCell ref="C168:F168"/>
    <mergeCell ref="C169:M169"/>
    <mergeCell ref="C170:M170"/>
    <mergeCell ref="C171:F171"/>
    <mergeCell ref="C172:M172"/>
    <mergeCell ref="C173:F173"/>
    <mergeCell ref="C174:M174"/>
    <mergeCell ref="C175:M175"/>
    <mergeCell ref="C176:F176"/>
    <mergeCell ref="C177:F177"/>
    <mergeCell ref="C178:M178"/>
    <mergeCell ref="C179:M179"/>
    <mergeCell ref="C180:F180"/>
    <mergeCell ref="C181:F181"/>
    <mergeCell ref="C182:M182"/>
    <mergeCell ref="C183:M183"/>
    <mergeCell ref="C184:F184"/>
    <mergeCell ref="C185:M185"/>
    <mergeCell ref="C186:M186"/>
    <mergeCell ref="C187:F187"/>
    <mergeCell ref="C188:M188"/>
    <mergeCell ref="C189:M189"/>
    <mergeCell ref="C190:F190"/>
    <mergeCell ref="C191:F191"/>
    <mergeCell ref="C192:F192"/>
    <mergeCell ref="C193:M193"/>
    <mergeCell ref="C194:M194"/>
    <mergeCell ref="C195:F195"/>
    <mergeCell ref="C196:F196"/>
    <mergeCell ref="C197:M197"/>
    <mergeCell ref="C198:M198"/>
    <mergeCell ref="C199:F199"/>
    <mergeCell ref="C200:M200"/>
    <mergeCell ref="C201:M201"/>
    <mergeCell ref="C202:M202"/>
    <mergeCell ref="C203:F203"/>
    <mergeCell ref="C204:M204"/>
    <mergeCell ref="C205:F205"/>
    <mergeCell ref="C206:M206"/>
    <mergeCell ref="C207:M207"/>
    <mergeCell ref="C208:M208"/>
    <mergeCell ref="C209:F209"/>
    <mergeCell ref="C210:M210"/>
    <mergeCell ref="C211:M211"/>
    <mergeCell ref="C212:F212"/>
    <mergeCell ref="C213:M213"/>
    <mergeCell ref="C214:F214"/>
    <mergeCell ref="C215:M215"/>
    <mergeCell ref="C216:M216"/>
    <mergeCell ref="C217:F217"/>
    <mergeCell ref="C218:M218"/>
    <mergeCell ref="C219:F219"/>
    <mergeCell ref="C220:M220"/>
    <mergeCell ref="C221:M221"/>
    <mergeCell ref="C222:F222"/>
    <mergeCell ref="C223:M223"/>
    <mergeCell ref="C224:M224"/>
    <mergeCell ref="C225:F225"/>
    <mergeCell ref="C226:F226"/>
    <mergeCell ref="C227:M227"/>
    <mergeCell ref="C228:M228"/>
    <mergeCell ref="C229:F229"/>
    <mergeCell ref="C230:F230"/>
    <mergeCell ref="C231:F231"/>
    <mergeCell ref="C232:F232"/>
    <mergeCell ref="C233:F233"/>
    <mergeCell ref="C234:M234"/>
    <mergeCell ref="C235:F235"/>
    <mergeCell ref="C236:F236"/>
    <mergeCell ref="C237:F237"/>
    <mergeCell ref="C238:F238"/>
    <mergeCell ref="C239:F239"/>
    <mergeCell ref="C240:F240"/>
    <mergeCell ref="C241:M241"/>
    <mergeCell ref="C242:F242"/>
    <mergeCell ref="C243:M243"/>
    <mergeCell ref="C244:F244"/>
    <mergeCell ref="C245:F245"/>
    <mergeCell ref="C246:F246"/>
    <mergeCell ref="C247:F247"/>
    <mergeCell ref="C248:F248"/>
    <mergeCell ref="C249:F249"/>
    <mergeCell ref="C250:F250"/>
    <mergeCell ref="C251:M251"/>
    <mergeCell ref="C252:F252"/>
    <mergeCell ref="C253:M253"/>
    <mergeCell ref="C254:F254"/>
    <mergeCell ref="C255:M255"/>
    <mergeCell ref="C256:M256"/>
    <mergeCell ref="C257:F257"/>
    <mergeCell ref="C258:M258"/>
    <mergeCell ref="C259:F259"/>
    <mergeCell ref="C260:F260"/>
    <mergeCell ref="C261:F261"/>
    <mergeCell ref="C262:M262"/>
    <mergeCell ref="C263:M263"/>
    <mergeCell ref="C264:F264"/>
    <mergeCell ref="C265:M265"/>
    <mergeCell ref="C266:M266"/>
    <mergeCell ref="C267:F267"/>
    <mergeCell ref="C268:M268"/>
    <mergeCell ref="C269:F269"/>
    <mergeCell ref="C270:M270"/>
    <mergeCell ref="C271:F271"/>
    <mergeCell ref="C272:M272"/>
    <mergeCell ref="C273:M273"/>
    <mergeCell ref="C274:F274"/>
    <mergeCell ref="C275:M275"/>
    <mergeCell ref="C276:F276"/>
    <mergeCell ref="C277:M277"/>
    <mergeCell ref="C278:F278"/>
    <mergeCell ref="C279:M279"/>
    <mergeCell ref="C280:F280"/>
    <mergeCell ref="C281:M281"/>
    <mergeCell ref="C282:M282"/>
    <mergeCell ref="C283:F283"/>
    <mergeCell ref="C284:M284"/>
    <mergeCell ref="C285:M285"/>
    <mergeCell ref="C286:F286"/>
    <mergeCell ref="C287:M287"/>
    <mergeCell ref="C288:F288"/>
    <mergeCell ref="C289:M289"/>
    <mergeCell ref="C290:F290"/>
    <mergeCell ref="C291:M291"/>
    <mergeCell ref="C292:F292"/>
    <mergeCell ref="C293:M293"/>
    <mergeCell ref="C294:M294"/>
    <mergeCell ref="C295:F295"/>
    <mergeCell ref="C296:M296"/>
    <mergeCell ref="C297:M297"/>
    <mergeCell ref="C298:F298"/>
    <mergeCell ref="C299:M299"/>
    <mergeCell ref="C300:F300"/>
    <mergeCell ref="C301:M301"/>
    <mergeCell ref="C302:F302"/>
    <mergeCell ref="C303:M303"/>
    <mergeCell ref="C304:F304"/>
    <mergeCell ref="C305:M305"/>
    <mergeCell ref="C306:M306"/>
    <mergeCell ref="C307:F307"/>
    <mergeCell ref="C308:M308"/>
    <mergeCell ref="C309:M309"/>
    <mergeCell ref="C310:F310"/>
    <mergeCell ref="C311:M311"/>
    <mergeCell ref="C312:M312"/>
    <mergeCell ref="C313:F313"/>
    <mergeCell ref="C314:M314"/>
    <mergeCell ref="C315:M315"/>
    <mergeCell ref="C316:F316"/>
    <mergeCell ref="C317:F317"/>
    <mergeCell ref="C318:F318"/>
    <mergeCell ref="C319:M319"/>
    <mergeCell ref="C320:F320"/>
    <mergeCell ref="J327:K327"/>
    <mergeCell ref="A329:M329"/>
    <mergeCell ref="C321:M321"/>
    <mergeCell ref="C322:F322"/>
    <mergeCell ref="C323:M323"/>
    <mergeCell ref="C324:F324"/>
    <mergeCell ref="C325:F325"/>
    <mergeCell ref="C326:M326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ySplit="10" topLeftCell="A15" activePane="bottomLeft" state="frozen"/>
      <selection pane="topLeft" activeCell="A1" sqref="A1"/>
      <selection pane="bottomLeft" activeCell="N28" sqref="N28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53" t="s">
        <v>677</v>
      </c>
      <c r="B1" s="154"/>
      <c r="C1" s="154"/>
      <c r="D1" s="154"/>
      <c r="E1" s="154"/>
      <c r="F1" s="154"/>
      <c r="G1" s="154"/>
    </row>
    <row r="2" spans="1:8" ht="12.75">
      <c r="A2" s="155" t="s">
        <v>1</v>
      </c>
      <c r="B2" s="156"/>
      <c r="C2" s="157" t="str">
        <f>'Stavební rozpočet'!C2</f>
        <v>3.A - oprava sociálního zázemí pacientů</v>
      </c>
      <c r="D2" s="159" t="s">
        <v>588</v>
      </c>
      <c r="E2" s="160" t="s">
        <v>731</v>
      </c>
      <c r="F2" s="161" t="s">
        <v>602</v>
      </c>
      <c r="G2" s="167" t="str">
        <f>'Stavební rozpočet'!J2</f>
        <v>Psychiatrická nemocnice Horní Beřkovice</v>
      </c>
      <c r="H2" s="4"/>
    </row>
    <row r="3" spans="1:8" ht="12.75">
      <c r="A3" s="148"/>
      <c r="B3" s="102"/>
      <c r="C3" s="158"/>
      <c r="D3" s="102"/>
      <c r="E3" s="102"/>
      <c r="F3" s="102"/>
      <c r="G3" s="146"/>
      <c r="H3" s="4"/>
    </row>
    <row r="4" spans="1:8" ht="12.75">
      <c r="A4" s="141" t="s">
        <v>2</v>
      </c>
      <c r="B4" s="102"/>
      <c r="C4" s="101" t="str">
        <f>'Stavební rozpočet'!C4</f>
        <v>Zdravotnické zařízení</v>
      </c>
      <c r="D4" s="144" t="s">
        <v>589</v>
      </c>
      <c r="E4" s="149" t="s">
        <v>734</v>
      </c>
      <c r="F4" s="101" t="s">
        <v>603</v>
      </c>
      <c r="G4" s="165" t="str">
        <f>'Stavební rozpočet'!J4</f>
        <v>Roman Antoš</v>
      </c>
      <c r="H4" s="4"/>
    </row>
    <row r="5" spans="1:8" ht="12.75">
      <c r="A5" s="148"/>
      <c r="B5" s="102"/>
      <c r="C5" s="102"/>
      <c r="D5" s="102"/>
      <c r="E5" s="102"/>
      <c r="F5" s="102"/>
      <c r="G5" s="146"/>
      <c r="H5" s="4"/>
    </row>
    <row r="6" spans="1:8" ht="12.75">
      <c r="A6" s="141" t="s">
        <v>3</v>
      </c>
      <c r="B6" s="102"/>
      <c r="C6" s="101" t="str">
        <f>'Stavební rozpočet'!C6</f>
        <v>Areál psychiatrické nemocnice - budova H - 1.NP</v>
      </c>
      <c r="D6" s="144" t="s">
        <v>590</v>
      </c>
      <c r="E6" s="149" t="s">
        <v>730</v>
      </c>
      <c r="F6" s="101" t="s">
        <v>604</v>
      </c>
      <c r="G6" s="166" t="str">
        <f>'Stavební rozpočet'!J6</f>
        <v> </v>
      </c>
      <c r="H6" s="4"/>
    </row>
    <row r="7" spans="1:8" ht="12.75">
      <c r="A7" s="148"/>
      <c r="B7" s="102"/>
      <c r="C7" s="102"/>
      <c r="D7" s="102"/>
      <c r="E7" s="102"/>
      <c r="F7" s="102"/>
      <c r="G7" s="152"/>
      <c r="H7" s="4"/>
    </row>
    <row r="8" spans="1:8" ht="12.75">
      <c r="A8" s="141" t="s">
        <v>605</v>
      </c>
      <c r="B8" s="102"/>
      <c r="C8" s="101" t="str">
        <f>'Stavební rozpočet'!J8</f>
        <v>Roman Antoš, stavební technik a zaměstnanec nemocnice</v>
      </c>
      <c r="D8" s="144" t="s">
        <v>591</v>
      </c>
      <c r="E8" s="144" t="s">
        <v>592</v>
      </c>
      <c r="F8" s="144" t="s">
        <v>591</v>
      </c>
      <c r="G8" s="165" t="str">
        <f>'Stavební rozpočet'!G8</f>
        <v>10.06.2021</v>
      </c>
      <c r="H8" s="4"/>
    </row>
    <row r="9" spans="1:8" ht="12.75">
      <c r="A9" s="142"/>
      <c r="B9" s="143"/>
      <c r="C9" s="143"/>
      <c r="D9" s="164"/>
      <c r="E9" s="143"/>
      <c r="F9" s="143"/>
      <c r="G9" s="147"/>
      <c r="H9" s="4"/>
    </row>
    <row r="10" spans="1:8" ht="12.75">
      <c r="A10" s="35" t="s">
        <v>678</v>
      </c>
      <c r="B10" s="38" t="s">
        <v>140</v>
      </c>
      <c r="C10" s="40" t="s">
        <v>679</v>
      </c>
      <c r="D10" s="41"/>
      <c r="E10" s="42" t="s">
        <v>680</v>
      </c>
      <c r="F10" s="42" t="s">
        <v>681</v>
      </c>
      <c r="G10" s="42" t="s">
        <v>682</v>
      </c>
      <c r="H10" s="4"/>
    </row>
    <row r="11" spans="1:9" ht="12.75">
      <c r="A11" s="36"/>
      <c r="B11" s="39" t="s">
        <v>34</v>
      </c>
      <c r="C11" s="163" t="s">
        <v>294</v>
      </c>
      <c r="D11" s="102"/>
      <c r="E11" s="44">
        <f>'Stavební rozpočet'!J12</f>
        <v>0</v>
      </c>
      <c r="F11" s="44">
        <f>'Stavební rozpočet'!K12</f>
        <v>0</v>
      </c>
      <c r="G11" s="44">
        <f>'Stavební rozpočet'!L12</f>
        <v>0</v>
      </c>
      <c r="H11" s="28" t="s">
        <v>683</v>
      </c>
      <c r="I11" s="28">
        <f aca="true" t="shared" si="0" ref="I11:I40">IF(H11="F",0,G11)</f>
        <v>0</v>
      </c>
    </row>
    <row r="12" spans="1:9" ht="12.75">
      <c r="A12" s="37"/>
      <c r="B12" s="15" t="s">
        <v>37</v>
      </c>
      <c r="C12" s="144" t="s">
        <v>297</v>
      </c>
      <c r="D12" s="102"/>
      <c r="E12" s="28">
        <f>'Stavební rozpočet'!J15</f>
        <v>0</v>
      </c>
      <c r="F12" s="28">
        <f>'Stavební rozpočet'!K15</f>
        <v>0</v>
      </c>
      <c r="G12" s="28">
        <f>'Stavební rozpočet'!L15</f>
        <v>0</v>
      </c>
      <c r="H12" s="28" t="s">
        <v>683</v>
      </c>
      <c r="I12" s="28">
        <f t="shared" si="0"/>
        <v>0</v>
      </c>
    </row>
    <row r="13" spans="1:9" ht="12.75">
      <c r="A13" s="37"/>
      <c r="B13" s="15" t="s">
        <v>40</v>
      </c>
      <c r="C13" s="144" t="s">
        <v>307</v>
      </c>
      <c r="D13" s="102"/>
      <c r="E13" s="28">
        <f>'Stavební rozpočet'!J26</f>
        <v>0</v>
      </c>
      <c r="F13" s="28">
        <f>'Stavební rozpočet'!K26</f>
        <v>0</v>
      </c>
      <c r="G13" s="28">
        <f>'Stavební rozpočet'!L26</f>
        <v>0</v>
      </c>
      <c r="H13" s="28" t="s">
        <v>683</v>
      </c>
      <c r="I13" s="28">
        <f t="shared" si="0"/>
        <v>0</v>
      </c>
    </row>
    <row r="14" spans="1:9" ht="12.75">
      <c r="A14" s="37"/>
      <c r="B14" s="15" t="s">
        <v>66</v>
      </c>
      <c r="C14" s="144" t="s">
        <v>310</v>
      </c>
      <c r="D14" s="102"/>
      <c r="E14" s="28">
        <f>'Stavební rozpočet'!J29</f>
        <v>0</v>
      </c>
      <c r="F14" s="28">
        <f>'Stavební rozpočet'!K29</f>
        <v>0</v>
      </c>
      <c r="G14" s="28">
        <f>'Stavební rozpočet'!L29</f>
        <v>0</v>
      </c>
      <c r="H14" s="28" t="s">
        <v>683</v>
      </c>
      <c r="I14" s="28">
        <f t="shared" si="0"/>
        <v>0</v>
      </c>
    </row>
    <row r="15" spans="1:9" ht="12.75">
      <c r="A15" s="37"/>
      <c r="B15" s="15" t="s">
        <v>67</v>
      </c>
      <c r="C15" s="144" t="s">
        <v>321</v>
      </c>
      <c r="D15" s="102"/>
      <c r="E15" s="28">
        <f>'Stavební rozpočet'!J41</f>
        <v>0</v>
      </c>
      <c r="F15" s="28">
        <f>'Stavební rozpočet'!K41</f>
        <v>0</v>
      </c>
      <c r="G15" s="28">
        <f>'Stavební rozpočet'!L41</f>
        <v>0</v>
      </c>
      <c r="H15" s="28" t="s">
        <v>683</v>
      </c>
      <c r="I15" s="28">
        <f t="shared" si="0"/>
        <v>0</v>
      </c>
    </row>
    <row r="16" spans="1:9" ht="12.75">
      <c r="A16" s="37"/>
      <c r="B16" s="15" t="s">
        <v>69</v>
      </c>
      <c r="C16" s="144" t="s">
        <v>327</v>
      </c>
      <c r="D16" s="102"/>
      <c r="E16" s="28">
        <f>'Stavební rozpočet'!J47</f>
        <v>0</v>
      </c>
      <c r="F16" s="28">
        <f>'Stavební rozpočet'!K47</f>
        <v>0</v>
      </c>
      <c r="G16" s="28">
        <f>'Stavební rozpočet'!L47</f>
        <v>0</v>
      </c>
      <c r="H16" s="28" t="s">
        <v>683</v>
      </c>
      <c r="I16" s="28">
        <f t="shared" si="0"/>
        <v>0</v>
      </c>
    </row>
    <row r="17" spans="1:9" ht="12.75">
      <c r="A17" s="37"/>
      <c r="B17" s="15" t="s">
        <v>70</v>
      </c>
      <c r="C17" s="144" t="s">
        <v>336</v>
      </c>
      <c r="D17" s="102"/>
      <c r="E17" s="28">
        <f>'Stavební rozpočet'!J56</f>
        <v>0</v>
      </c>
      <c r="F17" s="28">
        <f>'Stavební rozpočet'!K56</f>
        <v>0</v>
      </c>
      <c r="G17" s="28">
        <f>'Stavební rozpočet'!L56</f>
        <v>0</v>
      </c>
      <c r="H17" s="28" t="s">
        <v>683</v>
      </c>
      <c r="I17" s="28">
        <f t="shared" si="0"/>
        <v>0</v>
      </c>
    </row>
    <row r="18" spans="1:9" ht="12.75">
      <c r="A18" s="37"/>
      <c r="B18" s="15" t="s">
        <v>160</v>
      </c>
      <c r="C18" s="144" t="s">
        <v>346</v>
      </c>
      <c r="D18" s="102"/>
      <c r="E18" s="28">
        <f>'Stavební rozpočet'!J69</f>
        <v>0</v>
      </c>
      <c r="F18" s="28">
        <f>'Stavební rozpočet'!K69</f>
        <v>0</v>
      </c>
      <c r="G18" s="28">
        <f>'Stavební rozpočet'!L69</f>
        <v>0</v>
      </c>
      <c r="H18" s="28" t="s">
        <v>683</v>
      </c>
      <c r="I18" s="28">
        <f t="shared" si="0"/>
        <v>0</v>
      </c>
    </row>
    <row r="19" spans="1:9" ht="12.75">
      <c r="A19" s="37"/>
      <c r="B19" s="15" t="s">
        <v>166</v>
      </c>
      <c r="C19" s="144" t="s">
        <v>362</v>
      </c>
      <c r="D19" s="102"/>
      <c r="E19" s="28">
        <f>'Stavební rozpočet'!J86</f>
        <v>0</v>
      </c>
      <c r="F19" s="28">
        <f>'Stavební rozpočet'!K86</f>
        <v>0</v>
      </c>
      <c r="G19" s="28">
        <f>'Stavební rozpočet'!L86</f>
        <v>0</v>
      </c>
      <c r="H19" s="28" t="s">
        <v>683</v>
      </c>
      <c r="I19" s="28">
        <f t="shared" si="0"/>
        <v>0</v>
      </c>
    </row>
    <row r="20" spans="1:9" ht="12.75">
      <c r="A20" s="37"/>
      <c r="B20" s="15" t="s">
        <v>168</v>
      </c>
      <c r="C20" s="144" t="s">
        <v>366</v>
      </c>
      <c r="D20" s="102"/>
      <c r="E20" s="28">
        <f>'Stavební rozpočet'!J90</f>
        <v>0</v>
      </c>
      <c r="F20" s="28">
        <f>'Stavební rozpočet'!K90</f>
        <v>0</v>
      </c>
      <c r="G20" s="28">
        <f>'Stavební rozpočet'!L90</f>
        <v>0</v>
      </c>
      <c r="H20" s="28" t="s">
        <v>683</v>
      </c>
      <c r="I20" s="28">
        <f t="shared" si="0"/>
        <v>0</v>
      </c>
    </row>
    <row r="21" spans="1:9" ht="12.75">
      <c r="A21" s="37"/>
      <c r="B21" s="15" t="s">
        <v>174</v>
      </c>
      <c r="C21" s="144" t="s">
        <v>373</v>
      </c>
      <c r="D21" s="102"/>
      <c r="E21" s="28">
        <f>'Stavební rozpočet'!J97</f>
        <v>0</v>
      </c>
      <c r="F21" s="28">
        <f>'Stavební rozpočet'!K97</f>
        <v>0</v>
      </c>
      <c r="G21" s="28">
        <f>'Stavební rozpočet'!L97</f>
        <v>0</v>
      </c>
      <c r="H21" s="28" t="s">
        <v>683</v>
      </c>
      <c r="I21" s="28">
        <f t="shared" si="0"/>
        <v>0</v>
      </c>
    </row>
    <row r="22" spans="1:9" ht="12.75">
      <c r="A22" s="37"/>
      <c r="B22" s="15" t="s">
        <v>180</v>
      </c>
      <c r="C22" s="144" t="s">
        <v>381</v>
      </c>
      <c r="D22" s="102"/>
      <c r="E22" s="28">
        <f>'Stavební rozpočet'!J107</f>
        <v>0</v>
      </c>
      <c r="F22" s="28">
        <f>'Stavební rozpočet'!K107</f>
        <v>0</v>
      </c>
      <c r="G22" s="28">
        <f>'Stavební rozpočet'!L107</f>
        <v>0</v>
      </c>
      <c r="H22" s="28" t="s">
        <v>683</v>
      </c>
      <c r="I22" s="28">
        <f t="shared" si="0"/>
        <v>0</v>
      </c>
    </row>
    <row r="23" spans="1:9" ht="12.75">
      <c r="A23" s="37"/>
      <c r="B23" s="15" t="s">
        <v>200</v>
      </c>
      <c r="C23" s="144" t="s">
        <v>413</v>
      </c>
      <c r="D23" s="102"/>
      <c r="E23" s="28">
        <f>'Stavební rozpočet'!J142</f>
        <v>0</v>
      </c>
      <c r="F23" s="28">
        <f>'Stavební rozpočet'!K142</f>
        <v>0</v>
      </c>
      <c r="G23" s="28">
        <f>'Stavební rozpočet'!L142</f>
        <v>0</v>
      </c>
      <c r="H23" s="28" t="s">
        <v>683</v>
      </c>
      <c r="I23" s="28">
        <f t="shared" si="0"/>
        <v>0</v>
      </c>
    </row>
    <row r="24" spans="1:9" ht="12.75">
      <c r="A24" s="37"/>
      <c r="B24" s="15" t="s">
        <v>202</v>
      </c>
      <c r="C24" s="144" t="s">
        <v>415</v>
      </c>
      <c r="D24" s="102"/>
      <c r="E24" s="28">
        <f>'Stavební rozpočet'!J144</f>
        <v>0</v>
      </c>
      <c r="F24" s="28">
        <f>'Stavební rozpočet'!K144</f>
        <v>0</v>
      </c>
      <c r="G24" s="28">
        <f>'Stavební rozpočet'!L144</f>
        <v>0</v>
      </c>
      <c r="H24" s="28" t="s">
        <v>683</v>
      </c>
      <c r="I24" s="28">
        <f t="shared" si="0"/>
        <v>0</v>
      </c>
    </row>
    <row r="25" spans="1:9" ht="12.75">
      <c r="A25" s="37"/>
      <c r="B25" s="15" t="s">
        <v>208</v>
      </c>
      <c r="C25" s="144" t="s">
        <v>421</v>
      </c>
      <c r="D25" s="102"/>
      <c r="E25" s="28">
        <f>'Stavební rozpočet'!J150</f>
        <v>0</v>
      </c>
      <c r="F25" s="28">
        <f>'Stavební rozpočet'!K150</f>
        <v>0</v>
      </c>
      <c r="G25" s="28">
        <f>'Stavební rozpočet'!L150</f>
        <v>0</v>
      </c>
      <c r="H25" s="28" t="s">
        <v>683</v>
      </c>
      <c r="I25" s="28">
        <f t="shared" si="0"/>
        <v>0</v>
      </c>
    </row>
    <row r="26" spans="1:9" ht="12.75">
      <c r="A26" s="37"/>
      <c r="B26" s="15" t="s">
        <v>213</v>
      </c>
      <c r="C26" s="144" t="s">
        <v>432</v>
      </c>
      <c r="D26" s="102"/>
      <c r="E26" s="28">
        <f>'Stavební rozpočet'!J161</f>
        <v>0</v>
      </c>
      <c r="F26" s="28">
        <f>'Stavební rozpočet'!K161</f>
        <v>0</v>
      </c>
      <c r="G26" s="28">
        <f>'Stavební rozpočet'!L161</f>
        <v>0</v>
      </c>
      <c r="H26" s="28" t="s">
        <v>683</v>
      </c>
      <c r="I26" s="28">
        <f t="shared" si="0"/>
        <v>0</v>
      </c>
    </row>
    <row r="27" spans="1:9" ht="12.75">
      <c r="A27" s="37"/>
      <c r="B27" s="15" t="s">
        <v>220</v>
      </c>
      <c r="C27" s="144" t="s">
        <v>447</v>
      </c>
      <c r="D27" s="102"/>
      <c r="E27" s="28">
        <f>'Stavební rozpočet'!J176</f>
        <v>0</v>
      </c>
      <c r="F27" s="28">
        <f>'Stavební rozpočet'!K176</f>
        <v>0</v>
      </c>
      <c r="G27" s="28">
        <f>'Stavební rozpočet'!L176</f>
        <v>0</v>
      </c>
      <c r="H27" s="28" t="s">
        <v>683</v>
      </c>
      <c r="I27" s="28">
        <f t="shared" si="0"/>
        <v>0</v>
      </c>
    </row>
    <row r="28" spans="1:9" ht="12.75">
      <c r="A28" s="37"/>
      <c r="B28" s="15" t="s">
        <v>222</v>
      </c>
      <c r="C28" s="144" t="s">
        <v>451</v>
      </c>
      <c r="D28" s="102"/>
      <c r="E28" s="28">
        <f>'Stavební rozpočet'!J180</f>
        <v>0</v>
      </c>
      <c r="F28" s="28">
        <f>'Stavební rozpočet'!K180</f>
        <v>0</v>
      </c>
      <c r="G28" s="28">
        <f>'Stavební rozpočet'!L180</f>
        <v>0</v>
      </c>
      <c r="H28" s="28" t="s">
        <v>683</v>
      </c>
      <c r="I28" s="28">
        <f t="shared" si="0"/>
        <v>0</v>
      </c>
    </row>
    <row r="29" spans="1:9" ht="12.75">
      <c r="A29" s="37"/>
      <c r="B29" s="15" t="s">
        <v>100</v>
      </c>
      <c r="C29" s="144" t="s">
        <v>460</v>
      </c>
      <c r="D29" s="102"/>
      <c r="E29" s="28">
        <f>'Stavební rozpočet'!J190</f>
        <v>0</v>
      </c>
      <c r="F29" s="28">
        <f>'Stavební rozpočet'!K190</f>
        <v>0</v>
      </c>
      <c r="G29" s="28">
        <f>'Stavební rozpočet'!L190</f>
        <v>0</v>
      </c>
      <c r="H29" s="28" t="s">
        <v>683</v>
      </c>
      <c r="I29" s="28">
        <f t="shared" si="0"/>
        <v>0</v>
      </c>
    </row>
    <row r="30" spans="1:9" ht="12.75">
      <c r="A30" s="37"/>
      <c r="B30" s="15" t="s">
        <v>102</v>
      </c>
      <c r="C30" s="144" t="s">
        <v>465</v>
      </c>
      <c r="D30" s="102"/>
      <c r="E30" s="28">
        <f>'Stavební rozpočet'!J195</f>
        <v>0</v>
      </c>
      <c r="F30" s="28">
        <f>'Stavební rozpočet'!K195</f>
        <v>0</v>
      </c>
      <c r="G30" s="28">
        <f>'Stavební rozpočet'!L195</f>
        <v>0</v>
      </c>
      <c r="H30" s="28" t="s">
        <v>683</v>
      </c>
      <c r="I30" s="28">
        <f t="shared" si="0"/>
        <v>0</v>
      </c>
    </row>
    <row r="31" spans="1:9" ht="12.75">
      <c r="A31" s="37"/>
      <c r="B31" s="15" t="s">
        <v>103</v>
      </c>
      <c r="C31" s="144" t="s">
        <v>493</v>
      </c>
      <c r="D31" s="102"/>
      <c r="E31" s="28">
        <f>'Stavební rozpočet'!J225</f>
        <v>0</v>
      </c>
      <c r="F31" s="28">
        <f>'Stavební rozpočet'!K225</f>
        <v>0</v>
      </c>
      <c r="G31" s="28">
        <f>'Stavební rozpočet'!L225</f>
        <v>0</v>
      </c>
      <c r="H31" s="28" t="s">
        <v>683</v>
      </c>
      <c r="I31" s="28">
        <f t="shared" si="0"/>
        <v>0</v>
      </c>
    </row>
    <row r="32" spans="1:9" ht="12.75">
      <c r="A32" s="37"/>
      <c r="B32" s="15" t="s">
        <v>239</v>
      </c>
      <c r="C32" s="144" t="s">
        <v>497</v>
      </c>
      <c r="D32" s="102"/>
      <c r="E32" s="28">
        <f>'Stavební rozpočet'!J229</f>
        <v>0</v>
      </c>
      <c r="F32" s="28">
        <f>'Stavební rozpočet'!K229</f>
        <v>0</v>
      </c>
      <c r="G32" s="28">
        <f>'Stavební rozpočet'!L229</f>
        <v>0</v>
      </c>
      <c r="H32" s="28" t="s">
        <v>683</v>
      </c>
      <c r="I32" s="28">
        <f t="shared" si="0"/>
        <v>0</v>
      </c>
    </row>
    <row r="33" spans="1:9" ht="12.75">
      <c r="A33" s="37"/>
      <c r="B33" s="15" t="s">
        <v>241</v>
      </c>
      <c r="C33" s="144" t="s">
        <v>499</v>
      </c>
      <c r="D33" s="102"/>
      <c r="E33" s="28">
        <f>'Stavební rozpočet'!J231</f>
        <v>0</v>
      </c>
      <c r="F33" s="28">
        <f>'Stavební rozpočet'!K231</f>
        <v>0</v>
      </c>
      <c r="G33" s="28">
        <f>'Stavební rozpočet'!L231</f>
        <v>0</v>
      </c>
      <c r="H33" s="28" t="s">
        <v>683</v>
      </c>
      <c r="I33" s="28">
        <f t="shared" si="0"/>
        <v>0</v>
      </c>
    </row>
    <row r="34" spans="1:9" ht="12.75">
      <c r="A34" s="37"/>
      <c r="B34" s="15" t="s">
        <v>247</v>
      </c>
      <c r="C34" s="144" t="s">
        <v>506</v>
      </c>
      <c r="D34" s="102"/>
      <c r="E34" s="28">
        <f>'Stavební rozpočet'!J238</f>
        <v>0</v>
      </c>
      <c r="F34" s="28">
        <f>'Stavební rozpočet'!K238</f>
        <v>0</v>
      </c>
      <c r="G34" s="28">
        <f>'Stavební rozpočet'!L238</f>
        <v>0</v>
      </c>
      <c r="H34" s="28" t="s">
        <v>683</v>
      </c>
      <c r="I34" s="28">
        <f t="shared" si="0"/>
        <v>0</v>
      </c>
    </row>
    <row r="35" spans="1:9" ht="12.75">
      <c r="A35" s="37"/>
      <c r="B35" s="15" t="s">
        <v>251</v>
      </c>
      <c r="C35" s="144" t="s">
        <v>511</v>
      </c>
      <c r="D35" s="102"/>
      <c r="E35" s="28">
        <f>'Stavební rozpočet'!J244</f>
        <v>0</v>
      </c>
      <c r="F35" s="28">
        <f>'Stavební rozpočet'!K244</f>
        <v>0</v>
      </c>
      <c r="G35" s="28">
        <f>'Stavební rozpočet'!L244</f>
        <v>0</v>
      </c>
      <c r="H35" s="28" t="s">
        <v>683</v>
      </c>
      <c r="I35" s="28">
        <f t="shared" si="0"/>
        <v>0</v>
      </c>
    </row>
    <row r="36" spans="1:9" ht="12.75">
      <c r="A36" s="37"/>
      <c r="B36" s="15" t="s">
        <v>256</v>
      </c>
      <c r="C36" s="144" t="s">
        <v>516</v>
      </c>
      <c r="D36" s="102"/>
      <c r="E36" s="28">
        <f>'Stavební rozpočet'!J249</f>
        <v>0</v>
      </c>
      <c r="F36" s="28">
        <f>'Stavební rozpočet'!K249</f>
        <v>0</v>
      </c>
      <c r="G36" s="28">
        <f>'Stavební rozpočet'!L249</f>
        <v>0</v>
      </c>
      <c r="H36" s="28" t="s">
        <v>683</v>
      </c>
      <c r="I36" s="28">
        <f t="shared" si="0"/>
        <v>0</v>
      </c>
    </row>
    <row r="37" spans="1:9" ht="12.75">
      <c r="A37" s="37"/>
      <c r="B37" s="15"/>
      <c r="C37" s="144" t="s">
        <v>526</v>
      </c>
      <c r="D37" s="102"/>
      <c r="E37" s="28">
        <f>'Stavební rozpočet'!J260</f>
        <v>0</v>
      </c>
      <c r="F37" s="28">
        <f>'Stavební rozpočet'!K260</f>
        <v>0</v>
      </c>
      <c r="G37" s="28">
        <f>'Stavební rozpočet'!L260</f>
        <v>0</v>
      </c>
      <c r="H37" s="28" t="s">
        <v>683</v>
      </c>
      <c r="I37" s="28">
        <f t="shared" si="0"/>
        <v>0</v>
      </c>
    </row>
    <row r="38" spans="1:9" ht="12.75">
      <c r="A38" s="37"/>
      <c r="B38" s="15"/>
      <c r="C38" s="144" t="s">
        <v>577</v>
      </c>
      <c r="D38" s="102"/>
      <c r="E38" s="28">
        <f>'Stavební rozpočet'!J316</f>
        <v>0</v>
      </c>
      <c r="F38" s="28">
        <f>'Stavební rozpočet'!K316</f>
        <v>0</v>
      </c>
      <c r="G38" s="28">
        <f>'Stavební rozpočet'!L316</f>
        <v>0</v>
      </c>
      <c r="H38" s="28" t="s">
        <v>684</v>
      </c>
      <c r="I38" s="28">
        <f t="shared" si="0"/>
        <v>0</v>
      </c>
    </row>
    <row r="39" spans="1:9" ht="12.75">
      <c r="A39" s="37"/>
      <c r="B39" s="15" t="s">
        <v>284</v>
      </c>
      <c r="C39" s="144" t="s">
        <v>578</v>
      </c>
      <c r="D39" s="102"/>
      <c r="E39" s="28">
        <f>'Stavební rozpočet'!J317</f>
        <v>0</v>
      </c>
      <c r="F39" s="28">
        <f>'Stavební rozpočet'!K317</f>
        <v>0</v>
      </c>
      <c r="G39" s="28">
        <f>'Stavební rozpočet'!L317</f>
        <v>0</v>
      </c>
      <c r="H39" s="28" t="s">
        <v>683</v>
      </c>
      <c r="I39" s="28">
        <f t="shared" si="0"/>
        <v>0</v>
      </c>
    </row>
    <row r="40" spans="1:9" ht="12.75">
      <c r="A40" s="37"/>
      <c r="B40" s="15" t="s">
        <v>288</v>
      </c>
      <c r="C40" s="144" t="s">
        <v>585</v>
      </c>
      <c r="D40" s="102"/>
      <c r="E40" s="28">
        <f>'Stavební rozpočet'!J324</f>
        <v>0</v>
      </c>
      <c r="F40" s="28">
        <f>'Stavební rozpočet'!K324</f>
        <v>0</v>
      </c>
      <c r="G40" s="28">
        <f>'Stavební rozpočet'!L324</f>
        <v>0</v>
      </c>
      <c r="H40" s="28" t="s">
        <v>683</v>
      </c>
      <c r="I40" s="28">
        <f t="shared" si="0"/>
        <v>0</v>
      </c>
    </row>
    <row r="41" spans="6:7" ht="12.75">
      <c r="F41" s="43" t="s">
        <v>613</v>
      </c>
      <c r="G41" s="45">
        <f>SUM(I11:I40)</f>
        <v>0</v>
      </c>
    </row>
  </sheetData>
  <sheetProtection/>
  <mergeCells count="5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M22" sqref="M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2"/>
      <c r="B1" s="46"/>
      <c r="C1" s="191" t="s">
        <v>699</v>
      </c>
      <c r="D1" s="154"/>
      <c r="E1" s="154"/>
      <c r="F1" s="154"/>
      <c r="G1" s="154"/>
      <c r="H1" s="154"/>
      <c r="I1" s="154"/>
    </row>
    <row r="2" spans="1:10" ht="12.75">
      <c r="A2" s="155" t="s">
        <v>1</v>
      </c>
      <c r="B2" s="156"/>
      <c r="C2" s="157" t="str">
        <f>'Stavební rozpočet'!C2</f>
        <v>3.A - oprava sociálního zázemí pacientů</v>
      </c>
      <c r="D2" s="100"/>
      <c r="E2" s="161" t="s">
        <v>602</v>
      </c>
      <c r="F2" s="161" t="str">
        <f>'Stavební rozpočet'!J2</f>
        <v>Psychiatrická nemocnice Horní Beřkovice</v>
      </c>
      <c r="G2" s="156"/>
      <c r="H2" s="161" t="s">
        <v>723</v>
      </c>
      <c r="I2" s="192" t="s">
        <v>727</v>
      </c>
      <c r="J2" s="4"/>
    </row>
    <row r="3" spans="1:10" ht="12.75">
      <c r="A3" s="148"/>
      <c r="B3" s="102"/>
      <c r="C3" s="158"/>
      <c r="D3" s="158"/>
      <c r="E3" s="102"/>
      <c r="F3" s="102"/>
      <c r="G3" s="102"/>
      <c r="H3" s="102"/>
      <c r="I3" s="146"/>
      <c r="J3" s="4"/>
    </row>
    <row r="4" spans="1:10" ht="12.75">
      <c r="A4" s="141" t="s">
        <v>2</v>
      </c>
      <c r="B4" s="102"/>
      <c r="C4" s="101" t="str">
        <f>'Stavební rozpočet'!C4</f>
        <v>Zdravotnické zařízení</v>
      </c>
      <c r="D4" s="102"/>
      <c r="E4" s="101" t="s">
        <v>603</v>
      </c>
      <c r="F4" s="101" t="str">
        <f>'Stavební rozpočet'!J4</f>
        <v>Roman Antoš</v>
      </c>
      <c r="G4" s="102"/>
      <c r="H4" s="101" t="s">
        <v>723</v>
      </c>
      <c r="I4" s="189"/>
      <c r="J4" s="4"/>
    </row>
    <row r="5" spans="1:10" ht="12.75">
      <c r="A5" s="148"/>
      <c r="B5" s="102"/>
      <c r="C5" s="102"/>
      <c r="D5" s="102"/>
      <c r="E5" s="102"/>
      <c r="F5" s="102"/>
      <c r="G5" s="102"/>
      <c r="H5" s="102"/>
      <c r="I5" s="146"/>
      <c r="J5" s="4"/>
    </row>
    <row r="6" spans="1:10" ht="12.75">
      <c r="A6" s="141" t="s">
        <v>3</v>
      </c>
      <c r="B6" s="102"/>
      <c r="C6" s="101" t="str">
        <f>'Stavební rozpočet'!C6</f>
        <v>Areál psychiatrické nemocnice - budova H - 1.NP</v>
      </c>
      <c r="D6" s="102"/>
      <c r="E6" s="101" t="s">
        <v>604</v>
      </c>
      <c r="F6" s="190" t="str">
        <f>'Stavební rozpočet'!J6</f>
        <v> </v>
      </c>
      <c r="G6" s="151"/>
      <c r="H6" s="101" t="s">
        <v>723</v>
      </c>
      <c r="I6" s="189"/>
      <c r="J6" s="4"/>
    </row>
    <row r="7" spans="1:10" ht="12.75">
      <c r="A7" s="148"/>
      <c r="B7" s="102"/>
      <c r="C7" s="102"/>
      <c r="D7" s="102"/>
      <c r="E7" s="102"/>
      <c r="F7" s="151"/>
      <c r="G7" s="151"/>
      <c r="H7" s="102"/>
      <c r="I7" s="146"/>
      <c r="J7" s="4"/>
    </row>
    <row r="8" spans="1:10" ht="12.75">
      <c r="A8" s="141" t="s">
        <v>589</v>
      </c>
      <c r="B8" s="102"/>
      <c r="C8" s="101" t="str">
        <f>'Stavební rozpočet'!G4</f>
        <v>15.8.2021</v>
      </c>
      <c r="D8" s="102"/>
      <c r="E8" s="101" t="s">
        <v>590</v>
      </c>
      <c r="F8" s="101" t="str">
        <f>'Stavební rozpočet'!G6</f>
        <v>30.9.2021</v>
      </c>
      <c r="G8" s="102"/>
      <c r="H8" s="144" t="s">
        <v>724</v>
      </c>
      <c r="I8" s="189" t="s">
        <v>138</v>
      </c>
      <c r="J8" s="4"/>
    </row>
    <row r="9" spans="1:10" ht="12.75">
      <c r="A9" s="148"/>
      <c r="B9" s="102"/>
      <c r="C9" s="102"/>
      <c r="D9" s="102"/>
      <c r="E9" s="102"/>
      <c r="F9" s="102"/>
      <c r="G9" s="102"/>
      <c r="H9" s="102"/>
      <c r="I9" s="146"/>
      <c r="J9" s="4"/>
    </row>
    <row r="10" spans="1:10" ht="12.75">
      <c r="A10" s="141" t="s">
        <v>4</v>
      </c>
      <c r="B10" s="102"/>
      <c r="C10" s="101">
        <f>'Stavební rozpočet'!C8</f>
        <v>8011</v>
      </c>
      <c r="D10" s="102"/>
      <c r="E10" s="101" t="s">
        <v>605</v>
      </c>
      <c r="F10" s="101" t="str">
        <f>'Stavební rozpočet'!J8</f>
        <v>Roman Antoš, stavební technik a zaměstnanec nemocnice</v>
      </c>
      <c r="G10" s="102"/>
      <c r="H10" s="144" t="s">
        <v>725</v>
      </c>
      <c r="I10" s="165" t="str">
        <f>'Stavební rozpočet'!G8</f>
        <v>10.06.2021</v>
      </c>
      <c r="J10" s="4"/>
    </row>
    <row r="11" spans="1:10" ht="12.75">
      <c r="A11" s="187"/>
      <c r="B11" s="164"/>
      <c r="C11" s="164"/>
      <c r="D11" s="164"/>
      <c r="E11" s="164"/>
      <c r="F11" s="164"/>
      <c r="G11" s="164"/>
      <c r="H11" s="164"/>
      <c r="I11" s="188"/>
      <c r="J11" s="4"/>
    </row>
    <row r="12" spans="1:9" ht="23.25" customHeight="1">
      <c r="A12" s="183" t="s">
        <v>685</v>
      </c>
      <c r="B12" s="184"/>
      <c r="C12" s="184"/>
      <c r="D12" s="184"/>
      <c r="E12" s="184"/>
      <c r="F12" s="184"/>
      <c r="G12" s="184"/>
      <c r="H12" s="184"/>
      <c r="I12" s="184"/>
    </row>
    <row r="13" spans="1:10" ht="26.25" customHeight="1">
      <c r="A13" s="47" t="s">
        <v>686</v>
      </c>
      <c r="B13" s="185" t="s">
        <v>697</v>
      </c>
      <c r="C13" s="186"/>
      <c r="D13" s="47" t="s">
        <v>700</v>
      </c>
      <c r="E13" s="185" t="s">
        <v>709</v>
      </c>
      <c r="F13" s="186"/>
      <c r="G13" s="47" t="s">
        <v>710</v>
      </c>
      <c r="H13" s="185" t="s">
        <v>726</v>
      </c>
      <c r="I13" s="186"/>
      <c r="J13" s="4"/>
    </row>
    <row r="14" spans="1:10" ht="15" customHeight="1">
      <c r="A14" s="48" t="s">
        <v>687</v>
      </c>
      <c r="B14" s="52" t="s">
        <v>698</v>
      </c>
      <c r="C14" s="55">
        <f>SUM('Stavební rozpočet'!AB12:AB326)</f>
        <v>0</v>
      </c>
      <c r="D14" s="181" t="s">
        <v>701</v>
      </c>
      <c r="E14" s="182"/>
      <c r="F14" s="55">
        <v>0</v>
      </c>
      <c r="G14" s="181" t="s">
        <v>578</v>
      </c>
      <c r="H14" s="182"/>
      <c r="I14" s="56" t="s">
        <v>628</v>
      </c>
      <c r="J14" s="4"/>
    </row>
    <row r="15" spans="1:10" ht="15" customHeight="1">
      <c r="A15" s="49"/>
      <c r="B15" s="52" t="s">
        <v>614</v>
      </c>
      <c r="C15" s="55">
        <f>SUM('Stavební rozpočet'!AC12:AC326)</f>
        <v>0</v>
      </c>
      <c r="D15" s="181" t="s">
        <v>702</v>
      </c>
      <c r="E15" s="182"/>
      <c r="F15" s="55">
        <v>0</v>
      </c>
      <c r="G15" s="181" t="s">
        <v>711</v>
      </c>
      <c r="H15" s="182"/>
      <c r="I15" s="56" t="s">
        <v>628</v>
      </c>
      <c r="J15" s="4"/>
    </row>
    <row r="16" spans="1:10" ht="15" customHeight="1">
      <c r="A16" s="48" t="s">
        <v>688</v>
      </c>
      <c r="B16" s="52" t="s">
        <v>698</v>
      </c>
      <c r="C16" s="55">
        <f>SUM('Stavební rozpočet'!AD12:AD326)</f>
        <v>0</v>
      </c>
      <c r="D16" s="181" t="s">
        <v>703</v>
      </c>
      <c r="E16" s="182"/>
      <c r="F16" s="55">
        <v>0</v>
      </c>
      <c r="G16" s="181" t="s">
        <v>712</v>
      </c>
      <c r="H16" s="182"/>
      <c r="I16" s="56" t="s">
        <v>628</v>
      </c>
      <c r="J16" s="4"/>
    </row>
    <row r="17" spans="1:10" ht="15" customHeight="1">
      <c r="A17" s="49"/>
      <c r="B17" s="52" t="s">
        <v>614</v>
      </c>
      <c r="C17" s="55">
        <f>SUM('Stavební rozpočet'!AE12:AE326)</f>
        <v>0</v>
      </c>
      <c r="D17" s="181"/>
      <c r="E17" s="182"/>
      <c r="F17" s="56"/>
      <c r="G17" s="181" t="s">
        <v>713</v>
      </c>
      <c r="H17" s="182"/>
      <c r="I17" s="56" t="s">
        <v>628</v>
      </c>
      <c r="J17" s="4"/>
    </row>
    <row r="18" spans="1:10" ht="15" customHeight="1">
      <c r="A18" s="48" t="s">
        <v>689</v>
      </c>
      <c r="B18" s="52" t="s">
        <v>698</v>
      </c>
      <c r="C18" s="55">
        <f>SUM('Stavební rozpočet'!AF12:AF326)</f>
        <v>0</v>
      </c>
      <c r="D18" s="181"/>
      <c r="E18" s="182"/>
      <c r="F18" s="56"/>
      <c r="G18" s="181" t="s">
        <v>714</v>
      </c>
      <c r="H18" s="182"/>
      <c r="I18" s="56" t="s">
        <v>628</v>
      </c>
      <c r="J18" s="4"/>
    </row>
    <row r="19" spans="1:10" ht="15" customHeight="1">
      <c r="A19" s="49"/>
      <c r="B19" s="52" t="s">
        <v>614</v>
      </c>
      <c r="C19" s="55">
        <f>SUM('Stavební rozpočet'!AG12:AG326)</f>
        <v>0</v>
      </c>
      <c r="D19" s="181"/>
      <c r="E19" s="182"/>
      <c r="F19" s="56"/>
      <c r="G19" s="181" t="s">
        <v>715</v>
      </c>
      <c r="H19" s="182"/>
      <c r="I19" s="56" t="s">
        <v>628</v>
      </c>
      <c r="J19" s="4"/>
    </row>
    <row r="20" spans="1:10" ht="15" customHeight="1">
      <c r="A20" s="179" t="s">
        <v>526</v>
      </c>
      <c r="B20" s="180"/>
      <c r="C20" s="55">
        <f>SUM('Stavební rozpočet'!AH12:AH326)</f>
        <v>0</v>
      </c>
      <c r="D20" s="181"/>
      <c r="E20" s="182"/>
      <c r="F20" s="56"/>
      <c r="G20" s="181"/>
      <c r="H20" s="182"/>
      <c r="I20" s="56"/>
      <c r="J20" s="4"/>
    </row>
    <row r="21" spans="1:10" ht="15" customHeight="1">
      <c r="A21" s="179" t="s">
        <v>690</v>
      </c>
      <c r="B21" s="180"/>
      <c r="C21" s="55">
        <f>SUM('Stavební rozpočet'!Z12:Z326)</f>
        <v>0</v>
      </c>
      <c r="D21" s="181"/>
      <c r="E21" s="182"/>
      <c r="F21" s="56"/>
      <c r="G21" s="181"/>
      <c r="H21" s="182"/>
      <c r="I21" s="56"/>
      <c r="J21" s="4"/>
    </row>
    <row r="22" spans="1:10" ht="16.5" customHeight="1">
      <c r="A22" s="179" t="s">
        <v>691</v>
      </c>
      <c r="B22" s="180"/>
      <c r="C22" s="55">
        <f>SUM(C14:C21)</f>
        <v>0</v>
      </c>
      <c r="D22" s="179" t="s">
        <v>704</v>
      </c>
      <c r="E22" s="180"/>
      <c r="F22" s="55">
        <f>SUM(F14:F21)</f>
        <v>0</v>
      </c>
      <c r="G22" s="179" t="s">
        <v>716</v>
      </c>
      <c r="H22" s="180"/>
      <c r="I22" s="55">
        <f>SUM(I14:I21)</f>
        <v>0</v>
      </c>
      <c r="J22" s="4"/>
    </row>
    <row r="23" spans="1:10" ht="15" customHeight="1">
      <c r="A23" s="7"/>
      <c r="B23" s="7"/>
      <c r="C23" s="54"/>
      <c r="D23" s="179" t="s">
        <v>705</v>
      </c>
      <c r="E23" s="180"/>
      <c r="F23" s="57">
        <v>0</v>
      </c>
      <c r="G23" s="179" t="s">
        <v>717</v>
      </c>
      <c r="H23" s="180"/>
      <c r="I23" s="55">
        <v>0</v>
      </c>
      <c r="J23" s="4"/>
    </row>
    <row r="24" spans="4:9" ht="15" customHeight="1">
      <c r="D24" s="7"/>
      <c r="E24" s="7"/>
      <c r="F24" s="58"/>
      <c r="G24" s="179" t="s">
        <v>718</v>
      </c>
      <c r="H24" s="180"/>
      <c r="I24" s="60"/>
    </row>
    <row r="25" spans="6:10" ht="15" customHeight="1">
      <c r="F25" s="59"/>
      <c r="G25" s="179" t="s">
        <v>719</v>
      </c>
      <c r="H25" s="180"/>
      <c r="I25" s="55">
        <v>0</v>
      </c>
      <c r="J25" s="4"/>
    </row>
    <row r="26" spans="1:9" ht="12.75">
      <c r="A26" s="46"/>
      <c r="B26" s="46"/>
      <c r="C26" s="46"/>
      <c r="G26" s="7"/>
      <c r="H26" s="7"/>
      <c r="I26" s="7"/>
    </row>
    <row r="27" spans="1:9" ht="15" customHeight="1">
      <c r="A27" s="174" t="s">
        <v>692</v>
      </c>
      <c r="B27" s="175"/>
      <c r="C27" s="61">
        <f>SUM('Stavební rozpočet'!AJ12:AJ326)</f>
        <v>0</v>
      </c>
      <c r="D27" s="6"/>
      <c r="E27" s="46"/>
      <c r="F27" s="46"/>
      <c r="G27" s="46"/>
      <c r="H27" s="46"/>
      <c r="I27" s="46"/>
    </row>
    <row r="28" spans="1:10" ht="15" customHeight="1">
      <c r="A28" s="174" t="s">
        <v>693</v>
      </c>
      <c r="B28" s="175"/>
      <c r="C28" s="61">
        <f>SUM('Stavební rozpočet'!AK12:AK326)</f>
        <v>0</v>
      </c>
      <c r="D28" s="174" t="s">
        <v>706</v>
      </c>
      <c r="E28" s="175"/>
      <c r="F28" s="61">
        <f>ROUND(C28*(15/100),2)</f>
        <v>0</v>
      </c>
      <c r="G28" s="174" t="s">
        <v>720</v>
      </c>
      <c r="H28" s="175"/>
      <c r="I28" s="61">
        <f>SUM(C27:C29)</f>
        <v>0</v>
      </c>
      <c r="J28" s="4"/>
    </row>
    <row r="29" spans="1:10" ht="15" customHeight="1">
      <c r="A29" s="174" t="s">
        <v>694</v>
      </c>
      <c r="B29" s="175"/>
      <c r="C29" s="61">
        <f>SUM('Stavební rozpočet'!AL12:AL326)</f>
        <v>0</v>
      </c>
      <c r="D29" s="174" t="s">
        <v>707</v>
      </c>
      <c r="E29" s="175"/>
      <c r="F29" s="61">
        <f>ROUND(C29*(21/100),2)</f>
        <v>0</v>
      </c>
      <c r="G29" s="174" t="s">
        <v>721</v>
      </c>
      <c r="H29" s="175"/>
      <c r="I29" s="61">
        <f>SUM(F28:F29)+I28</f>
        <v>0</v>
      </c>
      <c r="J29" s="4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176" t="s">
        <v>695</v>
      </c>
      <c r="B31" s="177"/>
      <c r="C31" s="178"/>
      <c r="D31" s="176" t="s">
        <v>708</v>
      </c>
      <c r="E31" s="177"/>
      <c r="F31" s="178"/>
      <c r="G31" s="176" t="s">
        <v>722</v>
      </c>
      <c r="H31" s="177"/>
      <c r="I31" s="178"/>
      <c r="J31" s="26"/>
    </row>
    <row r="32" spans="1:10" ht="14.25" customHeight="1">
      <c r="A32" s="168"/>
      <c r="B32" s="169"/>
      <c r="C32" s="170"/>
      <c r="D32" s="168"/>
      <c r="E32" s="169"/>
      <c r="F32" s="170"/>
      <c r="G32" s="168"/>
      <c r="H32" s="169"/>
      <c r="I32" s="170"/>
      <c r="J32" s="26"/>
    </row>
    <row r="33" spans="1:10" ht="14.25" customHeight="1">
      <c r="A33" s="168"/>
      <c r="B33" s="169"/>
      <c r="C33" s="170"/>
      <c r="D33" s="168"/>
      <c r="E33" s="169"/>
      <c r="F33" s="170"/>
      <c r="G33" s="168"/>
      <c r="H33" s="169"/>
      <c r="I33" s="170"/>
      <c r="J33" s="26"/>
    </row>
    <row r="34" spans="1:10" ht="14.25" customHeight="1">
      <c r="A34" s="168"/>
      <c r="B34" s="169"/>
      <c r="C34" s="170"/>
      <c r="D34" s="168"/>
      <c r="E34" s="169"/>
      <c r="F34" s="170"/>
      <c r="G34" s="168"/>
      <c r="H34" s="169"/>
      <c r="I34" s="170"/>
      <c r="J34" s="26"/>
    </row>
    <row r="35" spans="1:10" ht="14.25" customHeight="1">
      <c r="A35" s="171" t="s">
        <v>696</v>
      </c>
      <c r="B35" s="172"/>
      <c r="C35" s="173"/>
      <c r="D35" s="171" t="s">
        <v>696</v>
      </c>
      <c r="E35" s="172"/>
      <c r="F35" s="173"/>
      <c r="G35" s="171" t="s">
        <v>696</v>
      </c>
      <c r="H35" s="172"/>
      <c r="I35" s="173"/>
      <c r="J35" s="26"/>
    </row>
    <row r="36" spans="1:9" ht="11.25" customHeight="1">
      <c r="A36" s="51" t="s">
        <v>139</v>
      </c>
      <c r="B36" s="53"/>
      <c r="C36" s="53"/>
      <c r="D36" s="53"/>
      <c r="E36" s="53"/>
      <c r="F36" s="53"/>
      <c r="G36" s="53"/>
      <c r="H36" s="53"/>
      <c r="I36" s="53"/>
    </row>
    <row r="37" spans="1:9" ht="12.75">
      <c r="A37" s="101"/>
      <c r="B37" s="102"/>
      <c r="C37" s="102"/>
      <c r="D37" s="102"/>
      <c r="E37" s="102"/>
      <c r="F37" s="102"/>
      <c r="G37" s="102"/>
      <c r="H37" s="102"/>
      <c r="I37" s="102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Olga Knoblochová</dc:creator>
  <cp:keywords/>
  <dc:description/>
  <cp:lastModifiedBy>JUDr. Olga Knoblochová</cp:lastModifiedBy>
  <dcterms:created xsi:type="dcterms:W3CDTF">2021-07-28T08:47:12Z</dcterms:created>
  <dcterms:modified xsi:type="dcterms:W3CDTF">2021-07-28T08:47:27Z</dcterms:modified>
  <cp:category/>
  <cp:version/>
  <cp:contentType/>
  <cp:contentStatus/>
</cp:coreProperties>
</file>