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2"/>
  </bookViews>
  <sheets>
    <sheet name="Krycí list rozpočtu" sheetId="1" r:id="rId1"/>
    <sheet name="Stavební rozpočet" sheetId="2" r:id="rId2"/>
    <sheet name="Elektroinstalace" sheetId="3" r:id="rId3"/>
  </sheets>
  <definedNames/>
  <calcPr fullCalcOnLoad="1"/>
</workbook>
</file>

<file path=xl/sharedStrings.xml><?xml version="1.0" encoding="utf-8"?>
<sst xmlns="http://schemas.openxmlformats.org/spreadsheetml/2006/main" count="1458" uniqueCount="601">
  <si>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</si>
  <si>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</si>
  <si>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</si>
  <si>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</si>
  <si>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</si>
  <si>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</si>
  <si>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</si>
  <si>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</si>
  <si>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</si>
  <si>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</si>
  <si>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</si>
  <si>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</si>
  <si>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</si>
  <si>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</si>
  <si>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</si>
  <si>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</si>
  <si>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</si>
  <si>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</si>
  <si>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</si>
  <si>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</si>
  <si>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</si>
  <si>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</si>
  <si>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</si>
  <si>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</si>
  <si>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</si>
  <si>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</si>
  <si>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</si>
  <si>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</si>
  <si>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</si>
  <si>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</si>
  <si>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</si>
  <si>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</si>
  <si>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</si>
  <si>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</si>
  <si>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</si>
  <si>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</si>
  <si>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</si>
  <si>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</si>
  <si>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</si>
  <si>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</si>
  <si>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</si>
  <si>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</si>
  <si>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</si>
  <si>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</si>
  <si>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</si>
  <si>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</si>
  <si>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</si>
  <si>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</si>
  <si>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</si>
  <si>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</si>
  <si>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</si>
  <si>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</si>
  <si>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</si>
  <si>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</si>
  <si>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</si>
  <si>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</si>
  <si>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</si>
  <si>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</si>
  <si>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</si>
  <si>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</si>
  <si>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</si>
  <si>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</si>
  <si>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</si>
  <si>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</si>
  <si>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</si>
  <si>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</si>
  <si>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</si>
  <si>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</si>
  <si>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</si>
  <si>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</si>
  <si>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</si>
  <si>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</si>
  <si>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</si>
  <si>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</si>
  <si>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</si>
  <si>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</si>
  <si>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</si>
  <si>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</si>
  <si>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</si>
  <si>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</si>
  <si>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</si>
  <si>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</si>
  <si>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</si>
  <si>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</si>
  <si>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Poznámka:</t>
  </si>
  <si>
    <t>Kód</t>
  </si>
  <si>
    <t>216904391R00</t>
  </si>
  <si>
    <t>RTS komentář:</t>
  </si>
  <si>
    <t>319201303R00</t>
  </si>
  <si>
    <t>317235811RT2</t>
  </si>
  <si>
    <t>Varianta:</t>
  </si>
  <si>
    <t>457311116R00</t>
  </si>
  <si>
    <t>602021102R00</t>
  </si>
  <si>
    <t>602021187RW1</t>
  </si>
  <si>
    <t>602021172R00</t>
  </si>
  <si>
    <t>612473185R00</t>
  </si>
  <si>
    <t>612473186R00</t>
  </si>
  <si>
    <t>612409991RT2</t>
  </si>
  <si>
    <t>612401944R00</t>
  </si>
  <si>
    <t>622904115R00</t>
  </si>
  <si>
    <t>622421121RT2</t>
  </si>
  <si>
    <t>622401901R00</t>
  </si>
  <si>
    <t>622481111R00</t>
  </si>
  <si>
    <t>620991121R00</t>
  </si>
  <si>
    <t>622472194R00</t>
  </si>
  <si>
    <t>622481292R00</t>
  </si>
  <si>
    <t>622481291R00</t>
  </si>
  <si>
    <t>622481211RT2</t>
  </si>
  <si>
    <t>620991125R00</t>
  </si>
  <si>
    <t>622471318RU4</t>
  </si>
  <si>
    <t>641940015RA0</t>
  </si>
  <si>
    <t>711</t>
  </si>
  <si>
    <t>711212111R00</t>
  </si>
  <si>
    <t>725</t>
  </si>
  <si>
    <t>725230913R00</t>
  </si>
  <si>
    <t>762</t>
  </si>
  <si>
    <t>762341811R00</t>
  </si>
  <si>
    <t>762341210RT2</t>
  </si>
  <si>
    <t>764</t>
  </si>
  <si>
    <t>764816133RT2</t>
  </si>
  <si>
    <t>764900050RA0</t>
  </si>
  <si>
    <t>764900010RA0</t>
  </si>
  <si>
    <t>764900040RA0</t>
  </si>
  <si>
    <t>764454010RAA</t>
  </si>
  <si>
    <t>764454010RAB</t>
  </si>
  <si>
    <t>764454010RAC</t>
  </si>
  <si>
    <t>764310010RA0</t>
  </si>
  <si>
    <t>771</t>
  </si>
  <si>
    <t>771212113R00</t>
  </si>
  <si>
    <t>783</t>
  </si>
  <si>
    <t>783782422RT2</t>
  </si>
  <si>
    <t>784</t>
  </si>
  <si>
    <t>784111201R00</t>
  </si>
  <si>
    <t>784011111R00</t>
  </si>
  <si>
    <t>90</t>
  </si>
  <si>
    <t>902      R00</t>
  </si>
  <si>
    <t>787VD</t>
  </si>
  <si>
    <t>787-01VD</t>
  </si>
  <si>
    <t>94</t>
  </si>
  <si>
    <t>941941032RT4</t>
  </si>
  <si>
    <t>941941832RT4</t>
  </si>
  <si>
    <t>941941111R00</t>
  </si>
  <si>
    <t>944944011R00</t>
  </si>
  <si>
    <t>941941502R00</t>
  </si>
  <si>
    <t>944944081R00</t>
  </si>
  <si>
    <t>944944031R00</t>
  </si>
  <si>
    <t>95</t>
  </si>
  <si>
    <t>952901110R00</t>
  </si>
  <si>
    <t>952902110R00</t>
  </si>
  <si>
    <t>952903119R00</t>
  </si>
  <si>
    <t>952903111R00</t>
  </si>
  <si>
    <t>97</t>
  </si>
  <si>
    <t>978015291R00</t>
  </si>
  <si>
    <t>976083131R00</t>
  </si>
  <si>
    <t>H01</t>
  </si>
  <si>
    <t>998011002R00</t>
  </si>
  <si>
    <t>M652VD</t>
  </si>
  <si>
    <t>652VD</t>
  </si>
  <si>
    <t>S</t>
  </si>
  <si>
    <t>979082111R00</t>
  </si>
  <si>
    <t>979990107R00</t>
  </si>
  <si>
    <t>979094211R00</t>
  </si>
  <si>
    <t>979083117R00</t>
  </si>
  <si>
    <t>979083191R00</t>
  </si>
  <si>
    <t>28350112</t>
  </si>
  <si>
    <t>28350202</t>
  </si>
  <si>
    <t>597642407</t>
  </si>
  <si>
    <t>59764231</t>
  </si>
  <si>
    <t>59764241</t>
  </si>
  <si>
    <t>61143855</t>
  </si>
  <si>
    <t>28323205</t>
  </si>
  <si>
    <t>62740504</t>
  </si>
  <si>
    <t>03VRN</t>
  </si>
  <si>
    <t>030001VRN</t>
  </si>
  <si>
    <t>033002VRN</t>
  </si>
  <si>
    <t>034002VRN</t>
  </si>
  <si>
    <t>04VRN</t>
  </si>
  <si>
    <t>044002VRN</t>
  </si>
  <si>
    <t>08VRN</t>
  </si>
  <si>
    <t>081002VRN</t>
  </si>
  <si>
    <t>09VRN</t>
  </si>
  <si>
    <t>090001VRN</t>
  </si>
  <si>
    <t>Oprava fasády - budova B - klášter</t>
  </si>
  <si>
    <t>Zdravotnické zařízení</t>
  </si>
  <si>
    <t>Areál PN Horní Beřkovice</t>
  </si>
  <si>
    <t>Zkrácený popis / Varianta</t>
  </si>
  <si>
    <t>Rozměry</t>
  </si>
  <si>
    <t>Nezařazeno</t>
  </si>
  <si>
    <t>Úprava podloží a základové spáry</t>
  </si>
  <si>
    <t>Příplatek za ruční dočištění ocelovými kartáči</t>
  </si>
  <si>
    <t>V položce jsou zakalkulovány i náklady na dodání všech hmot.</t>
  </si>
  <si>
    <t>APSIDA - ruční vyčištění původního krovu před mořením přípravkem např. Lignofix PROFI zelený ( na napadené dřevo ).</t>
  </si>
  <si>
    <t>Zdi podpěrné a volné</t>
  </si>
  <si>
    <t>Lokální oprava zdiva dozděním z CP, pl.do 1 m2</t>
  </si>
  <si>
    <t>položka je určena pro vyspravení lokálních nerovností jakéhokoliv vnitřního nebo vnějšího zdiva do max. plochy 1 m2. Položka je kalkulována bez pomocného lešení a bez odsekání vadných cihel. Obsahuje smíchání suché maltové směsi s vodou, nanesení na stěnu a vyrovnání.</t>
  </si>
  <si>
    <t>Oprava zdiva po vyboraných konzolách, oprava špalet sklepních oken, doplnění chybějícího zdiva na ostění oken a dveří, doplnění zdiva v ploše.
Uvažováno z plochou v rozsahu 30 % z plochy soklu.</t>
  </si>
  <si>
    <t>Doplnění zdiva hlavních a kordonových říms cihlami</t>
  </si>
  <si>
    <t xml:space="preserve">s použitím suché maltové směsi.
</t>
  </si>
  <si>
    <t>Parapetní římsy průřezu 20x20 cm.
Okapní římsa průřezu     30x30 cm</t>
  </si>
  <si>
    <t>Podkladní a vedlejší konstrukce (kromě vozovek a železničního svršku)</t>
  </si>
  <si>
    <t>Vyrovnávací beton výplňový nebo spádový C 16/20</t>
  </si>
  <si>
    <t xml:space="preserve">
</t>
  </si>
  <si>
    <t>PARAPETY - ze suchých směsí, včetně bednění.
Průměrná vrstva 5cm.</t>
  </si>
  <si>
    <t>Omítky ze suchých směsí</t>
  </si>
  <si>
    <t>Postřik stěn cementový 100% krytí, ručně</t>
  </si>
  <si>
    <t xml:space="preserve">Materiál v systémovém řešení s ostatními dále použitými materiálly
</t>
  </si>
  <si>
    <t>Postřik ze suché omítkové směsi Baumit. Materiál je vhodný pro vnitřní i vnější použití. Slouží jako podkladní vrstva pod minerální omítky a vyrovnává nasákavost podkladu, na suché i vlhké solemi zatížené minerální podklady. V položce nejsou zakalkulovány náklady na pomocné lešení. V položce nejsou zakalkulovány náklady na použití rohových lišt a armovací skelné tkaniny.</t>
  </si>
  <si>
    <t>Stěny včetně soklu i špalet</t>
  </si>
  <si>
    <t>Stěrka na stěnách silikonová</t>
  </si>
  <si>
    <t>škrábaná, zrnitost 1,5 mm</t>
  </si>
  <si>
    <t>Omítka z pastovité směsi Baumit, vhodná pro vnější použití. Položka je kalkulována jako jedna z vrstev omítkové skladby. Položky za jednotlivé požadované vrstvy se sčítají.  V položce nejsou zakalkulovány náklady na pomocné lešení a náklady na penetrační nátěr ( oceňuje se položkami č. 602 02-1191 až -1194 ).</t>
  </si>
  <si>
    <t>Hrubá část fasády - materiál v systémovém řešení s ostatními dále použitými materiálly</t>
  </si>
  <si>
    <t>Štuk na stěnách vnější tl.3 mm,ručně</t>
  </si>
  <si>
    <t>Omítka ze suché směsi Baumit, vhodná pro vnější použití.  Položka je kalkulována jako jedna z vrstev omítkové skladby. Položky za jednotlivé požadované vrstvy se sčítají.  V položce nejsou zakalkulovány náklady na pomocné lešení, náklady na použití rohových lišt a armovací skelné tkaniny.</t>
  </si>
  <si>
    <t>Pouze na HLADKÉ části fasády, na HRUBÉ části ZRNO.
POZN. Včechny špalety jsou hladké!
Materiál v systémovém řešení s ostatními dále použitými materiálly</t>
  </si>
  <si>
    <t>Úprava povrchů vnitřní</t>
  </si>
  <si>
    <t>Příplatek za zabudované omítníky v ploše stěn</t>
  </si>
  <si>
    <t>měří se v m2 ploch</t>
  </si>
  <si>
    <t>Příplatek za zabudované rohovníky, stěny</t>
  </si>
  <si>
    <t>měří se v metrech délky hran</t>
  </si>
  <si>
    <t>Začištění omítek kolem oken,dveří apod.</t>
  </si>
  <si>
    <t>s použitím suché maltové směsi</t>
  </si>
  <si>
    <t>Výměna okna 1ks ( hnědé za bílé )</t>
  </si>
  <si>
    <t>Příplatek za sklon 45°- 60° omítky štukové</t>
  </si>
  <si>
    <t>Vrchní hrana soklu ( styk s rovinou ) sešikmená - omítka jádrová včetně štuku - ze suchých směsí</t>
  </si>
  <si>
    <t>Úprava povrchů vnější</t>
  </si>
  <si>
    <t>Očištění fasád tlakovou vodou složitost 3 - 5</t>
  </si>
  <si>
    <t>Omítka vnější stěn, MVC, hrubá zatřená</t>
  </si>
  <si>
    <t>Včetně OSTĚNÍ
Materiál v systémovém řešení s ostatními dále použitými materiálly</t>
  </si>
  <si>
    <t>Příplatek za zaoblení omítky vnějších stěn, hrubé</t>
  </si>
  <si>
    <t>Zaoblená část fasády v severozápadním rohu</t>
  </si>
  <si>
    <t>Potažení vnějších stěn rabic. pletivem, vypnutí</t>
  </si>
  <si>
    <t>Projektované nástřely (obvykle 6 až 8 kusů / m2) u tvrdých bezesparých podkladů se oceňují položkami souborů 95394 Vstřelování hřebů</t>
  </si>
  <si>
    <t>SOKL celoplošně.
Nástřely lze alternativně nahradit plastovými fasádními hmoždinkami.</t>
  </si>
  <si>
    <t>Zakrývání výplní vnějších otvorů z lešení</t>
  </si>
  <si>
    <t>Zakrývání výplní vnějších otvorů s rámy a zárubněmi, zábradlí, předmětů, oplechování apod., která se zřizují ještě před úpravami povrchu, před jejich znečištěním při úpravách povrchu nástřikem plastických (lepivých) maltovin, prováděné z lešení. Položka je určena pro zakrývání jakýmkoliv způsobem.  Množství měrných jednotek se určuje v m2 plochy kótovaných okenních otvorů, v rozměrech předmětů, konstrukcí, oplechování apod. jsou-li zcela obklopeny nástřikem. Zakrývání okrajů nastříkaných ploch a osaěmlých pásů ohraničených oplechováním, obklady, souvislým pásem oken, ochrana dlažby logií pod upravovanou stěnou apod. se určuje v ploše pruhů o šířce nejvýše 400 mm. Odkrytí je v položce započteno</t>
  </si>
  <si>
    <t>Zakrytí NEPRŮHLEDNOU, PRŮSVITNOU, BÍLOU silnější fólií ( ne mikroten, ale např. stavební rukáv ) s použitím pevné pásky ( ne papírové, ale např. maskovací páskou PVC -UV odolnou, dostatečně přilnavou, snadno odtržitelnou, 5cm širokou a 30bm v roličce ). Počítáno se ztratným ve výši 50% z důvodu opakovaného přilepování při větrání
Příplatek za fólii v položce č.70, za maskovací pásku v ložce č.71.</t>
  </si>
  <si>
    <t>Příplatek za tl. jádra 20 mm slož. IV. ručně,stěny</t>
  </si>
  <si>
    <t>Položka vyjadřuje rozdíl pracnosti a spotřeby materiálu mezi tl. jádra 15 mm (započtenou v položkách souboru 622 47-2) a tloušťkou 20 mm.</t>
  </si>
  <si>
    <t>Montáž výztužné lišty okenní a podparapetní</t>
  </si>
  <si>
    <t>Položka obsahuje natažení vtlačení výztužné lišty a rozetření tmelu. Položka neobsahuje dodávku tmelu ani lišty.</t>
  </si>
  <si>
    <t>Hrany špalet otvorů, rohy budovy.
Materiál v položce 28350112</t>
  </si>
  <si>
    <t>Montáž výztužné lišty rohové a dilatační</t>
  </si>
  <si>
    <t>Materiál v položce 28350202</t>
  </si>
  <si>
    <t>Sokl</t>
  </si>
  <si>
    <t>Montáž výztužné sítě(perlinky)do stěrky-vněj.stěny</t>
  </si>
  <si>
    <t>včetně výztužné sítě a stěrkového tmelu Baumit</t>
  </si>
  <si>
    <t>Položka obsahuje natažení stěrkového tmelu, vtlačení výztužné sítě a rozetření tmelu.</t>
  </si>
  <si>
    <t>Příplatek za zakrývání otvorů</t>
  </si>
  <si>
    <t>Opakované zakrývání některých otvorů způsobené nutností větrání.
Uvažováno s poloviční plochou zakrývaných otvorů po dobu celé realizace díla.</t>
  </si>
  <si>
    <t>Nátěr nebo nástřik stěn vnějších, složitost 3 - 4</t>
  </si>
  <si>
    <t>hmota nátěrová Baumit SilikonColor</t>
  </si>
  <si>
    <t>Položka nátěru platí pro jakoukoliv barvu v provedení a spotřebě hmot podle předpisu výrobce. Penetrace (nátěr ředěný 10-15% vody)+ 2 x nátěr. Rovnost podkladu musí odpovídat technologickým předpisům</t>
  </si>
  <si>
    <t>Výplně otvorů</t>
  </si>
  <si>
    <t>Montáž oken plochy nad 1,5 m2 do zdiva</t>
  </si>
  <si>
    <t>Osazení a dodávka okenních překladů, osazení okenního rámu a křídla, umístění a dodávka vnějších začišťovacích lišt, vyrovnání povrchu parapetu potěrem včetně dodávky směsi, osazení a dodávka vnějšího hliníkového parapetu včetně bočních krytek, osazení a dodávka vnitřního parapetu z dřevotřísky včetně bočních krytek. Bez omítky ostění a bez dodávky okna.</t>
  </si>
  <si>
    <t>Izolace proti vodě</t>
  </si>
  <si>
    <t>Penetrace podkladu nátěrem</t>
  </si>
  <si>
    <t>Stěny - HLADKÉ - na hladký štuk pod 1. barvu - silikonová systémová daného výrobce - ZABARVENÁ Z VÝROBY</t>
  </si>
  <si>
    <t>Stěny - HRUBÁ ČÁST - penetrace na cem.stěrku ( lepidlo ) před nanášením zrna - ZABARVENÁ Z VÝROBY dle odstínu finálové stěrky a v rámci systémového řešení - SILIKONOVÁ finálová zrnitá točená stěrka</t>
  </si>
  <si>
    <t>Zařizovací předměty</t>
  </si>
  <si>
    <t>Odmontování a zpětná montáž info cedulí  na fasádě</t>
  </si>
  <si>
    <t>Konstrukce tesařské</t>
  </si>
  <si>
    <t>Demontáž bednění střech rovných z prken hrubých</t>
  </si>
  <si>
    <t>Demontáž bednění střech rovných, obloukových, o sklonu do 60 stupňů včetně všech nadstřešních konstrukcí</t>
  </si>
  <si>
    <t>Apsida - prkenný záklop pod stávající střešní plechovou krytinou</t>
  </si>
  <si>
    <t>Montáž bednění střech rovných, prkna hrubá na sraz</t>
  </si>
  <si>
    <t xml:space="preserve">včetně dodávky prken tloušťky 24 mm.
</t>
  </si>
  <si>
    <t>Apsida - nový prkenný záklop</t>
  </si>
  <si>
    <t>Konstrukce klempířské</t>
  </si>
  <si>
    <t>Oplechování parapetů, lakovaný Pz plech, rš 330 mm</t>
  </si>
  <si>
    <t>lepení Enkolitem</t>
  </si>
  <si>
    <t>Zhotovení parapetu a montáž na lepidlo. Dodávka plechu a spojovacího materiálu.</t>
  </si>
  <si>
    <t>Demontáž oplechování parapetů</t>
  </si>
  <si>
    <t>V položce není kalkulován poplatek za skládku pro vybouranou suť. Tyto náklady se oceňují individuálně podle místních podmínek. Orientační hmotnost vybouraných konstrukcí je 0,002 t/m konstrukce.</t>
  </si>
  <si>
    <t>Demontáž krytiny střech</t>
  </si>
  <si>
    <t>V položce není kalkulován poplatek za skládku pro vybouranou suť. Tyto náklady se oceňují individuálně podle místních podmínek. Orientační hmotnost vybouraných konstrukcí je 0,007 t/m2 konstrukce.</t>
  </si>
  <si>
    <t>Apsida</t>
  </si>
  <si>
    <t>Demontáž odpadních trub</t>
  </si>
  <si>
    <t>V položce není kalkulován poplatek za skládku pro vybouranou suť. Tyto náklady se oceňují individuálně podle místních podmínek. Orientační hmotnost vybouraných konstrukcí je 0,003 t/m konstrukce.</t>
  </si>
  <si>
    <t>Svody</t>
  </si>
  <si>
    <t>Odpadní trouby z barveného Pz plechu kruhové</t>
  </si>
  <si>
    <t>průměru 75 mm.
Odstín bude vybrán objednatelem na základě požadavku NPÚ v průběhu stavby a včas sdělen zhotoviteli.</t>
  </si>
  <si>
    <t>průměru 100 mm.
Odstín bude vybrán objednatelem na základě požadavku NPÚ v průběhu stavby a včas sdělen zhotoviteli.</t>
  </si>
  <si>
    <t>průměru 120 mm.
Odstín bude vybrán objednatelem na základě požadavku NPÚ v průběhu stavby a včas sdělen zhotoviteli.</t>
  </si>
  <si>
    <t>Krytina střech z barveného Pz plechu</t>
  </si>
  <si>
    <t>Hladká střešní, včetně úpravy krytiny u okapů, prostupů a výčnělků, z tabulí 2 x 1 m, o sklonu dle popisu</t>
  </si>
  <si>
    <t>Střechy apsidy - falcovaný barvení pozinkovaný plech.
Odstín bude vybrán objednatelem na základě požadavku NPÚ v průběhu stavby a včas sdělen zhotoviteli.</t>
  </si>
  <si>
    <t>Podlahy z dlaždic</t>
  </si>
  <si>
    <t>Kladení dlažby keramické do TM, vel. do 400x400 mm</t>
  </si>
  <si>
    <t>Položka je určena pro kladení dlažby do tmele, rovnoběžně se stěnou, bez skládání složitých vzorů a tvarů. Položka obsahuje :  - zametení podkladu, - rozměření plochy,  - rozbalení balíků, třídění nebo rozpojení dlaždic dodávaných v blocích, - příprava a nanesení tmele na plochu, - řezání dlaždic, - kladení dlaždic, - spárování, čištění dlažby, odstranění odpadu. Položka neobsahuje žádný materiál. Skládání složitých vzorů a tvarů se oceňuje individuálně.</t>
  </si>
  <si>
    <t>Dlažba na stupně a podstupnice</t>
  </si>
  <si>
    <t>Nátěry</t>
  </si>
  <si>
    <t>Nátěr tesařských konstrukcí</t>
  </si>
  <si>
    <t>Vodou ředitelný fungicidní a insekticidní přípravek pro sanaci řeziva, krovů atd. napadeného dřevokazným hmyzem (např.tesařík, červotoč) a pro následnou impregnaci dřeva. Přípravek poskytuje dlouhodobou ochranu proti dřevokaznému hmyzu, dřevokazným houbám a plísním. Aplikuje se natíráním. Spotřeba v exteriéru pro dvojitý nátěr 30 g/m2</t>
  </si>
  <si>
    <t>Apsida - ochrana dřeva v exteriéru - původní konstrukce krovu a nový prkenný záklop - prkna oboustranně 1x</t>
  </si>
  <si>
    <t>Malby</t>
  </si>
  <si>
    <t>Penetrace podkladu nátěrem V1308  1 x RUČNĚ</t>
  </si>
  <si>
    <t>Akrylátový základní nátěr na savé podklady s hloubkovou účinností.</t>
  </si>
  <si>
    <t>Penetrace po vyškrábání spár, po umytí fasády a před špricováním</t>
  </si>
  <si>
    <t>Oprášení/ometení podkladu</t>
  </si>
  <si>
    <t>Provádí se za účelem odstranění veškerých drobných nepřilnavých částic a nečistot, které by mohly narušit přilnavost nanášeného materiálu k podkladu</t>
  </si>
  <si>
    <t>Krov apsidy</t>
  </si>
  <si>
    <t>Hodinové zúčtovací sazby (HZS)</t>
  </si>
  <si>
    <t>Hzs-práce na památkách</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</si>
  <si>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</si>
  <si>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</si>
  <si>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 xml:space="preserve">Ozdoba na fasádě - Panna Marie s Ježíškem
Očištění dle pokynů NPÚ, pracoviště Roudnice nad Labem
</t>
  </si>
  <si>
    <t>Zasklívání</t>
  </si>
  <si>
    <t>Prosklený oválný rám kolem ozdoby na fasádě</t>
  </si>
  <si>
    <t>Oválný dřevěný rám domluvených rozměrů z tvrdého dřeva, z čelní strany napevno zasklený bezpečnostním ( lepeným ) sklem 4.1.4. Rám opatřený z boku otvory s mřížkou pro provětrávání.
Včetně montáže na stěnu po ukončení opravy fasády a ozdoby.</t>
  </si>
  <si>
    <t>Lešení a stavební výtahy</t>
  </si>
  <si>
    <t>Montáž lešení leh.řad.s podlahami,š.do 1 m, H 30 m</t>
  </si>
  <si>
    <t>lešení rámové pronajaté</t>
  </si>
  <si>
    <t>Položka je kalkulována pro fasádní rámové lešení a nečlenitou fasádu. Pro fasádu členitou je vhodné použít individuální kalkulaci</t>
  </si>
  <si>
    <t>Demontáž lešení leh.řad.s podlahami,š.1 m, H 30 m</t>
  </si>
  <si>
    <t>Položka je kalkulována pro fasádní rámové lešení SPRINT, pro nečlenitou fasádu. Pro fasádu členitou je vhodné použít individuální kalkulaci</t>
  </si>
  <si>
    <t>Pronájem lešení za den</t>
  </si>
  <si>
    <t>Položku nelze používat současně s položkami 941 94-1191 až -1392 pro jedno časové období.</t>
  </si>
  <si>
    <t>120 dní</t>
  </si>
  <si>
    <t>Montáž ochranné sítě z umělých vláken</t>
  </si>
  <si>
    <t>Doprava lešení pronaj-dovoz a odvoz sady do 250m2</t>
  </si>
  <si>
    <t>Dovoz lešení na stavbu, cesta vozidla tam i zpět a odvoz lešení ze stavby, cesta tam i zpět. Plocha lešení uložitelná na jedno vozidlo je 250- 300 m2.  Položka je určena pro lešení rámová pronajatá. Položky pro lešení ve vlastnictví stavební organizace (var. R00) mají dopravu započtenu v ceně montáže</t>
  </si>
  <si>
    <t>Bude potřeba  4,27 sady lešení = 5 jízd</t>
  </si>
  <si>
    <t>Demontáž ochranné sítě z umělých vláken</t>
  </si>
  <si>
    <t>Příplatek za každý měsíc použití sítí k pol. 4011</t>
  </si>
  <si>
    <t>Různé dokončovací konstrukce a práce na pozemních stavbách</t>
  </si>
  <si>
    <t>Čištění mytím vnějších ploch oken a dveří</t>
  </si>
  <si>
    <t>Čištění zametáním v místnostech a chodbách</t>
  </si>
  <si>
    <t>Apsida - zametení podlahy po demontáži původního záklopu</t>
  </si>
  <si>
    <t>Příplatek za vyčištění prostorů výšky nad 3,5 m</t>
  </si>
  <si>
    <t>Odstranění prachu z trámů</t>
  </si>
  <si>
    <t>Apsida - ometení krovu po dmtž prkenného záklopu</t>
  </si>
  <si>
    <t>Prorážení otvorů a ostatní bourací práce</t>
  </si>
  <si>
    <t>Otlučení omítek vnějších MVC v složit.1-4 do 100 %</t>
  </si>
  <si>
    <t>S vyškrabáním spár, s očištěním zdiva. V položce není kalkulována manipulace se sutí, která se oceňuje samostatně položkami souboru 979.</t>
  </si>
  <si>
    <t>Vybourání škrabáků,konzol apod.ze zdiva cihelného</t>
  </si>
  <si>
    <t>V položce není kalkulována manipulace se sutí, která se oceňuje samostatně položkami souboru 979.</t>
  </si>
  <si>
    <t>Konzole s izolátory</t>
  </si>
  <si>
    <t>Budovy občanské výstavby</t>
  </si>
  <si>
    <t>Přesun hmot pro budovy zděné výšky do 12 m</t>
  </si>
  <si>
    <t>Elektromontáže</t>
  </si>
  <si>
    <t>Uvedeno položkově v položkovém rozpočtu na kartě "Elektromontáže".</t>
  </si>
  <si>
    <t>Přesuny sutí</t>
  </si>
  <si>
    <t>Vnitrostaveništní doprava suti do 10 m</t>
  </si>
  <si>
    <t>Včetně případného složení na staveništní deponii</t>
  </si>
  <si>
    <t>Poplatek za skládku suti - směs betonu,cihel,dřeva</t>
  </si>
  <si>
    <t>Nakládání nebo překládání vybourané suti</t>
  </si>
  <si>
    <t>Vodorovné přemístění suti na skládku do 6000 m</t>
  </si>
  <si>
    <t>Pro volbu položky je rozhodující dopravní vzdálenost těžiště skládky a půdorysné plochy objektu. V položce jsou zakalkulovány i náklady na naložení suti na dopravní prostředek a složení</t>
  </si>
  <si>
    <t>Příplatek za dalších započatých 1000 m nad 6000 m</t>
  </si>
  <si>
    <t>Skládka vzdálena 12km od stavby</t>
  </si>
  <si>
    <t>Ostatní materiál</t>
  </si>
  <si>
    <t>Profil okenní začišťovací s tkaninou, omítka 6 mm</t>
  </si>
  <si>
    <t>LZ-0,6 T s tkaninou  Délka 2,4 m Síla omítky 6 m</t>
  </si>
  <si>
    <t>Profil rohový PVC s mřížkou 10/10  l = 2,5 m</t>
  </si>
  <si>
    <t>balení 50 k</t>
  </si>
  <si>
    <t>Dlažba Taurus Granit matná schodovka 300x300x9 mm</t>
  </si>
  <si>
    <t>Slinuté neglazované obkladové prvky s velmi nízkou nasákavostí pod 0,5 %, určené k obkladům podlah v exteriérech a interiérech, které jsou vystaveny povětrnostním vlivům a vysokému až extremnímu mechanickému namáhání, obrusu a znečištění.  11 ks/m</t>
  </si>
  <si>
    <t>Dle výběru investora na základě předložených vzorků.</t>
  </si>
  <si>
    <t>Dlažba Taurus Granit reliéfní 300x300x9 mm</t>
  </si>
  <si>
    <t>Slinuté neglazované obkladové prvky s velmi nízkou nasákavostí pod 0,5 %, určené k obkladům podlah v exteriérech a interiérech, které jsou vystaveny povětrnostním vlivům a vysokému až extremnímu mechanickému namáhání, obrusu a znečištění</t>
  </si>
  <si>
    <t>Dlažba Taurus Granit matná sokl 300x80x9 mm</t>
  </si>
  <si>
    <t>Okno plastové trojkřídlé 210 x 150 cm OS+O+OS bílé</t>
  </si>
  <si>
    <t>zpracováno z 5 komorových profilů ALUPLAST IDEAL 5000 se třemi těsněními  zasklení izolačním dvojsklem s  Ug=1,1Wm2K celoobvodové kování ROTO NT s 1 bezpečnostním prvkem a mikroventilací v ceně hloubka 70 mm barva: vnější i vnitřní bílá zasklení: 4Float - 16 - 4Float, k = 1,1  s jedním sloupkem</t>
  </si>
  <si>
    <t>Výměna původního hnědého okna</t>
  </si>
  <si>
    <t>Fólie PE tl. 0,10  mm  š. 2000 mm  dl. 50 m</t>
  </si>
  <si>
    <t>Univerzální ochranná a separační vrstva  371027</t>
  </si>
  <si>
    <t>Páska maskovací 50 mm x 30 m  UV odolná</t>
  </si>
  <si>
    <t>Používá se při lakýrnických, natěračských nebo malířských pracích. Odolná vůči tepelným změnám, barvám a rozpouštědlům. Přilnavá k většině materiálů. Není určena pro dřevěné lakované povrchy. Pásku je nutno odstranit do 24 hodin po nalepení z důvodu zamezení ulpění lepidla na povrchu. Nosičem je impregnovaný krepový papír opatřený speciálním souvislým lepivým pryžovým filmem. Tepelná odolnost pásky do +60 °C. Aplikovat pásku je možné v rozsahu 0°C až +40°C</t>
  </si>
  <si>
    <t>VORN - Vedlejší a ostatní rozpočtové náklady</t>
  </si>
  <si>
    <t>Zařízení staveniště</t>
  </si>
  <si>
    <t>Pronájem stavební buňky, staveništního rozvaděče a mobilního WC na dobu realizace stavby - 120 kalendářních dní.
Včetně dopravy, montáže a následné demontáže po ukončení realizace stavby.</t>
  </si>
  <si>
    <t>Připojení na energie a jejich spotřeba</t>
  </si>
  <si>
    <t>ELEKTRO připojení stavební buňky a staveništního rozvaděče. Přívod vody zařídí objednatel.
Spotřeba EE a vody jde na vrub objednatele</t>
  </si>
  <si>
    <t>Zabezpečení staveniště</t>
  </si>
  <si>
    <t>Mobilní oplocení - pronájem na celou dobu realizace tj. 120kal. dnů
Pole délky 3,5m - počet kusů 50 = 175bm.</t>
  </si>
  <si>
    <t>Inženýrské činnosti</t>
  </si>
  <si>
    <t>Revize zařízení staveniště</t>
  </si>
  <si>
    <t>Revize připojení  a rozvodů stavební buňky.
Revize připojení a armatur staveništního rozvaděče</t>
  </si>
  <si>
    <t>Náklady na pracovníky</t>
  </si>
  <si>
    <t>Doprava zaměstnanců</t>
  </si>
  <si>
    <t>Doprava 2x týdně po dobu realizace tj. 120 kal. dnů = 17 týdnů</t>
  </si>
  <si>
    <t>Ostatní náklady</t>
  </si>
  <si>
    <t xml:space="preserve">
Dřevěné hranoly, spojovací materiál, OSB desky ...</t>
  </si>
  <si>
    <t>Bezpečnostní opatření:
Pro bezpečný přístup osob ( uživatelů ) do budovy. Jedná se takový "dřevěný tunel" pro dva hlavní a jeden postranní vchod. Konstrukce z dřevěných trámků 10x10cm pokrytých OSB deskami zhora ( ochrana průchozích proti pádu předmětů z lešení ) a z boku ( zamezení přístupu na lešení nepovolaným osobám ).</t>
  </si>
  <si>
    <t>Doba výstavby:</t>
  </si>
  <si>
    <t>Začátek výstavby:</t>
  </si>
  <si>
    <t>Konec výstavby:</t>
  </si>
  <si>
    <t>Zpracováno dne:</t>
  </si>
  <si>
    <t>01.08.2021</t>
  </si>
  <si>
    <t>28.11.2021</t>
  </si>
  <si>
    <t>01.06.2021</t>
  </si>
  <si>
    <t>MJ</t>
  </si>
  <si>
    <t>m2</t>
  </si>
  <si>
    <t>m3</t>
  </si>
  <si>
    <t>m</t>
  </si>
  <si>
    <t>kus</t>
  </si>
  <si>
    <t>h</t>
  </si>
  <si>
    <t>soub.</t>
  </si>
  <si>
    <t>km</t>
  </si>
  <si>
    <t>t</t>
  </si>
  <si>
    <t>Soubor</t>
  </si>
  <si>
    <t>Množství</t>
  </si>
  <si>
    <t>Objednatel:</t>
  </si>
  <si>
    <t>Projektant:</t>
  </si>
  <si>
    <t>Zhotovitel:</t>
  </si>
  <si>
    <t>Zpracoval:</t>
  </si>
  <si>
    <t>Cena/MJ</t>
  </si>
  <si>
    <t>(Kč)</t>
  </si>
  <si>
    <t>Psychiatrická nemocnice Horní Beřkovice</t>
  </si>
  <si>
    <t> </t>
  </si>
  <si>
    <t>Roman Antoš, stavební technik a zam</t>
  </si>
  <si>
    <t>Náklady (Kč)</t>
  </si>
  <si>
    <t>Dodávka</t>
  </si>
  <si>
    <t>Celkem:</t>
  </si>
  <si>
    <t>Montáž</t>
  </si>
  <si>
    <t>Celkem</t>
  </si>
  <si>
    <t>Cenová</t>
  </si>
  <si>
    <t>soustava</t>
  </si>
  <si>
    <t>RTS I / 2021</t>
  </si>
  <si>
    <t>Přesuny</t>
  </si>
  <si>
    <t>Typ skupiny</t>
  </si>
  <si>
    <t>HSV mat</t>
  </si>
  <si>
    <t>HSV prac</t>
  </si>
  <si>
    <t>PSV mat</t>
  </si>
  <si>
    <t>PSV prac</t>
  </si>
  <si>
    <t>Mont mat</t>
  </si>
  <si>
    <t>Mont prac</t>
  </si>
  <si>
    <t>Ostatní mat.</t>
  </si>
  <si>
    <t>0</t>
  </si>
  <si>
    <t>99</t>
  </si>
  <si>
    <t>21_</t>
  </si>
  <si>
    <t>31_</t>
  </si>
  <si>
    <t>45_</t>
  </si>
  <si>
    <t>60_</t>
  </si>
  <si>
    <t>61_</t>
  </si>
  <si>
    <t>62_</t>
  </si>
  <si>
    <t>64_</t>
  </si>
  <si>
    <t>711_</t>
  </si>
  <si>
    <t>725_</t>
  </si>
  <si>
    <t>762_</t>
  </si>
  <si>
    <t>764_</t>
  </si>
  <si>
    <t>771_</t>
  </si>
  <si>
    <t>783_</t>
  </si>
  <si>
    <t>784_</t>
  </si>
  <si>
    <t>90_</t>
  </si>
  <si>
    <t>787VD_</t>
  </si>
  <si>
    <t>94_</t>
  </si>
  <si>
    <t>95_</t>
  </si>
  <si>
    <t>97_</t>
  </si>
  <si>
    <t>H01_</t>
  </si>
  <si>
    <t>M652VD_</t>
  </si>
  <si>
    <t>S_</t>
  </si>
  <si>
    <t>Z99999_</t>
  </si>
  <si>
    <t>03VRN_</t>
  </si>
  <si>
    <t>04VRN_</t>
  </si>
  <si>
    <t>08VRN_</t>
  </si>
  <si>
    <t>09VRN_</t>
  </si>
  <si>
    <t>_2_</t>
  </si>
  <si>
    <t>_3_</t>
  </si>
  <si>
    <t>_4_</t>
  </si>
  <si>
    <t>_6_</t>
  </si>
  <si>
    <t>_71_</t>
  </si>
  <si>
    <t>_72_</t>
  </si>
  <si>
    <t>_76_</t>
  </si>
  <si>
    <t>_77_</t>
  </si>
  <si>
    <t>_78_</t>
  </si>
  <si>
    <t>_9_</t>
  </si>
  <si>
    <t>_Z_</t>
  </si>
  <si>
    <t>_ _</t>
  </si>
  <si>
    <t>_</t>
  </si>
  <si>
    <t>MAT</t>
  </si>
  <si>
    <t>WORK</t>
  </si>
  <si>
    <t>CELK</t>
  </si>
  <si>
    <t>ISWORK</t>
  </si>
  <si>
    <t>P</t>
  </si>
  <si>
    <t>M</t>
  </si>
  <si>
    <t>GROUPCODE</t>
  </si>
  <si>
    <t>Objekt</t>
  </si>
  <si>
    <t>Rozpočtové náklady v Kč</t>
  </si>
  <si>
    <t>A</t>
  </si>
  <si>
    <t>HSV</t>
  </si>
  <si>
    <t>PSV</t>
  </si>
  <si>
    <t>"M"</t>
  </si>
  <si>
    <t>Přesun hmot a sutí</t>
  </si>
  <si>
    <t>ZRN celkem</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</si>
  <si>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</si>
  <si>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</si>
  <si>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</si>
  <si>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</si>
  <si>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</si>
  <si>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</si>
  <si>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</si>
  <si>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</si>
  <si>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</si>
  <si>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</si>
  <si>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</si>
  <si>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</si>
  <si>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21%</t>
  </si>
  <si>
    <t>Objednatel</t>
  </si>
  <si>
    <t>Doplňkové náklady</t>
  </si>
  <si>
    <t>C</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</si>
  <si>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</si>
  <si>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</si>
  <si>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</si>
  <si>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</si>
  <si>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</si>
  <si>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</si>
  <si>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</si>
  <si>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</si>
  <si>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</si>
  <si>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</si>
  <si>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</si>
  <si>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</si>
  <si>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</si>
  <si>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</si>
  <si>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</si>
  <si>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</si>
  <si>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00673552/CZ00673552</t>
  </si>
  <si>
    <t>Objednavatel:</t>
  </si>
  <si>
    <t>Cena celkem</t>
  </si>
  <si>
    <t>Pol1</t>
  </si>
  <si>
    <t>Pojistková skříň SR502/ KVS4 SR4/2/</t>
  </si>
  <si>
    <t>ks</t>
  </si>
  <si>
    <t>Pol2</t>
  </si>
  <si>
    <t>Pojistková skříň SR402/ KVS4 SR3/2/</t>
  </si>
  <si>
    <t>Pol3</t>
  </si>
  <si>
    <t>Nožové pojistky 25A</t>
  </si>
  <si>
    <t>Pol4</t>
  </si>
  <si>
    <t>Nožové pojistky 50A</t>
  </si>
  <si>
    <t>Pol5</t>
  </si>
  <si>
    <t>Nožové pojistky 125A</t>
  </si>
  <si>
    <t>Pol6</t>
  </si>
  <si>
    <t>Nožové pojistky 160A</t>
  </si>
  <si>
    <t>Pol7</t>
  </si>
  <si>
    <t>Podpěra vedení do zdiva</t>
  </si>
  <si>
    <t>Pol8</t>
  </si>
  <si>
    <t>Ochranný úhelník OU 1.7</t>
  </si>
  <si>
    <t>Pol9</t>
  </si>
  <si>
    <t>Drát zemníci ALMgSi 8</t>
  </si>
  <si>
    <t>kg</t>
  </si>
  <si>
    <t>Pol10</t>
  </si>
  <si>
    <t>Chránička kopoflex 40</t>
  </si>
  <si>
    <t>Pol11</t>
  </si>
  <si>
    <t>Kabel CYKY 4Jx16</t>
  </si>
  <si>
    <t>Pol12</t>
  </si>
  <si>
    <t>Zemnící drát CYH ZŽ10</t>
  </si>
  <si>
    <t>Pol13</t>
  </si>
  <si>
    <t>Světlo kulaté přísazné IP44</t>
  </si>
  <si>
    <t>Pol14</t>
  </si>
  <si>
    <t>Vypínač Tango IP</t>
  </si>
  <si>
    <t>Pol15</t>
  </si>
  <si>
    <t>Zásuvka 400V 16A IP44</t>
  </si>
  <si>
    <t>Pol16</t>
  </si>
  <si>
    <t>Sádra stavební</t>
  </si>
  <si>
    <t>Pol17</t>
  </si>
  <si>
    <t>Slaboproudý rozvaděč telefoní, zápustný</t>
  </si>
  <si>
    <t>Pol18</t>
  </si>
  <si>
    <t>Natažení provizorního propojení přívodu budova H a F</t>
  </si>
  <si>
    <t>Pol19</t>
  </si>
  <si>
    <t>Připojení přívodu do nožových pojistek</t>
  </si>
  <si>
    <t>Pol20</t>
  </si>
  <si>
    <t>Odpojení přívodu z nožových pojistek</t>
  </si>
  <si>
    <t>Pol21</t>
  </si>
  <si>
    <t>Odpojení stavajících přívodu z nožových pojistek</t>
  </si>
  <si>
    <t>Pol22</t>
  </si>
  <si>
    <t>Připojení přívodu do nových nožových pojistek</t>
  </si>
  <si>
    <t>Pol23</t>
  </si>
  <si>
    <t>Odstranění stavajících pojistkových rozvaděčů</t>
  </si>
  <si>
    <t>Pol24</t>
  </si>
  <si>
    <t>Montáž nových pojistkových rozvaděčů</t>
  </si>
  <si>
    <t>Pol25</t>
  </si>
  <si>
    <t>Demontáž stavajícího telefoního rozvaděče</t>
  </si>
  <si>
    <t>kpl</t>
  </si>
  <si>
    <t>Pol26</t>
  </si>
  <si>
    <t>Montáž nového telefoního rozvaděče</t>
  </si>
  <si>
    <t>Pol27</t>
  </si>
  <si>
    <t>Přepojení telefoního rozvaděče, natažení kabelové trasy</t>
  </si>
  <si>
    <t>Pol28</t>
  </si>
  <si>
    <t>Odpojení stávajíci zásuvky 400V</t>
  </si>
  <si>
    <t>Pol29</t>
  </si>
  <si>
    <t>Připojení nové zásuvky 400V</t>
  </si>
  <si>
    <t>Pol30</t>
  </si>
  <si>
    <t>Odpojení plošiny pro vozíčkáře od napájení</t>
  </si>
  <si>
    <t>Pol31</t>
  </si>
  <si>
    <t>Připojení plošiny pro vozíčkáře</t>
  </si>
  <si>
    <t>Pol32</t>
  </si>
  <si>
    <t>Demontáž stavajících hromosvodových svodu</t>
  </si>
  <si>
    <t>Pol33</t>
  </si>
  <si>
    <t>Montáž nových hromosvodových svodů a podpěr</t>
  </si>
  <si>
    <t>Pol34</t>
  </si>
  <si>
    <t>Nezměřitelné práce, úpravy elektro na fasadě</t>
  </si>
  <si>
    <t>hod.</t>
  </si>
  <si>
    <t>Pol35</t>
  </si>
  <si>
    <t>Revize</t>
  </si>
  <si>
    <t>Pol36</t>
  </si>
  <si>
    <t>Ostatní celkem</t>
  </si>
  <si>
    <t>Elektroinstalace</t>
  </si>
  <si>
    <t>113</t>
  </si>
  <si>
    <t>Elektroinstalace při opravě fasády budovy B</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</si>
</sst>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 numFmtId="166" formatCode="#,##0.000"/>
  </numFmts>
  <fonts count="52">
    <font>
      <sz val="10"/>
      <name val="Arial"/>
      <family val="0"/>
    </font>
    <font>
      <sz val="10"/>
      <color indexed="8"/>
      <name val="Arial"/>
      <family val="2"/>
    </font>
    <font>
      <sz val="18"/>
      <color indexed="8"/>
      <name val="Arial"/>
      <family val="2"/>
    </font>
    <font>
      <b/>
      <sz val="10"/>
      <color indexed="8"/>
      <name val="Arial"/>
      <family val="2"/>
    </font>
    <font>
      <sz val="10"/>
      <color indexed="54"/>
      <name val="Arial"/>
      <family val="2"/>
    </font>
    <font>
      <sz val="10"/>
      <color indexed="56"/>
      <name val="Arial"/>
      <family val="2"/>
    </font>
    <font>
      <sz val="10"/>
      <color indexed="61"/>
      <name val="Arial"/>
      <family val="2"/>
    </font>
    <font>
      <sz val="10"/>
      <color indexed="62"/>
      <name val="Arial"/>
      <family val="2"/>
    </font>
    <font>
      <i/>
      <sz val="8"/>
      <color indexed="8"/>
      <name val="Arial"/>
      <family val="2"/>
    </font>
    <font>
      <b/>
      <sz val="10"/>
      <color indexed="54"/>
      <name val="Arial"/>
      <family val="2"/>
    </font>
    <font>
      <b/>
      <sz val="10"/>
      <color indexed="56"/>
      <name val="Arial"/>
      <family val="2"/>
    </font>
    <font>
      <i/>
      <sz val="10"/>
      <color indexed="58"/>
      <name val="Arial"/>
      <family val="2"/>
    </font>
    <font>
      <i/>
      <sz val="10"/>
      <color indexed="60"/>
      <name val="Arial"/>
      <family val="2"/>
    </font>
    <font>
      <i/>
      <sz val="10"/>
      <color indexed="59"/>
      <name val="Arial"/>
      <family val="2"/>
    </font>
    <font>
      <b/>
      <sz val="18"/>
      <color indexed="8"/>
      <name val="Arial"/>
      <family val="2"/>
    </font>
    <font>
      <b/>
      <sz val="20"/>
      <color indexed="8"/>
      <name val="Arial"/>
      <family val="2"/>
    </font>
    <font>
      <b/>
      <sz val="12"/>
      <color indexed="8"/>
      <name val="Arial"/>
      <family val="2"/>
    </font>
    <font>
      <sz val="12"/>
      <color indexed="8"/>
      <name val="Arial"/>
      <family val="2"/>
    </font>
    <font>
      <b/>
      <sz val="11"/>
      <color indexed="8"/>
      <name val="Arial"/>
      <family val="2"/>
    </font>
    <font>
      <sz val="9"/>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49"/>
      <name val="Calibri"/>
      <family val="2"/>
    </font>
    <font>
      <b/>
      <sz val="13"/>
      <color indexed="49"/>
      <name val="Calibri"/>
      <family val="2"/>
    </font>
    <font>
      <b/>
      <sz val="11"/>
      <color indexed="49"/>
      <name val="Calibri"/>
      <family val="2"/>
    </font>
    <font>
      <b/>
      <sz val="18"/>
      <color indexed="49"/>
      <name val="Cambria"/>
      <family val="2"/>
    </font>
    <font>
      <sz val="11"/>
      <color indexed="19"/>
      <name val="Calibri"/>
      <family val="2"/>
    </font>
    <font>
      <sz val="11"/>
      <color indexed="10"/>
      <name val="Calibri"/>
      <family val="2"/>
    </font>
    <font>
      <sz val="11"/>
      <color indexed="17"/>
      <name val="Calibri"/>
      <family val="2"/>
    </font>
    <font>
      <sz val="11"/>
      <color indexed="23"/>
      <name val="Calibri"/>
      <family val="2"/>
    </font>
    <font>
      <b/>
      <sz val="11"/>
      <color indexed="10"/>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style="thin"/>
      <right/>
      <top style="medium"/>
      <bottom/>
    </border>
    <border>
      <left style="thin"/>
      <right/>
      <top/>
      <bottom/>
    </border>
    <border>
      <left style="thin"/>
      <right/>
      <top/>
      <bottom style="thin"/>
    </border>
    <border>
      <left/>
      <right/>
      <top style="thin"/>
      <bottom/>
    </border>
    <border>
      <left style="thin"/>
      <right style="thin"/>
      <top style="medium"/>
      <bottom/>
    </border>
    <border>
      <left style="thin"/>
      <right style="thin"/>
      <top/>
      <bottom style="medium"/>
    </border>
    <border>
      <left/>
      <right/>
      <top style="medium"/>
      <bottom/>
    </border>
    <border>
      <left/>
      <right/>
      <top/>
      <bottom style="thin"/>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right style="thin"/>
      <top style="medium"/>
      <bottom/>
    </border>
    <border>
      <left/>
      <right style="thin"/>
      <top/>
      <bottom/>
    </border>
    <border>
      <left style="medium"/>
      <right/>
      <top/>
      <botto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style="thin"/>
      <bottom style="thin"/>
    </border>
    <border>
      <left/>
      <right style="thin"/>
      <top style="thin"/>
      <bottom style="thin"/>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hair">
        <color rgb="FF969696"/>
      </left>
      <right style="hair">
        <color rgb="FF969696"/>
      </right>
      <top style="hair">
        <color rgb="FF969696"/>
      </top>
      <bottom style="hair">
        <color rgb="FF969696"/>
      </bottom>
    </border>
    <border>
      <left/>
      <right style="medium"/>
      <top/>
      <bottom/>
    </border>
    <border>
      <left style="medium"/>
      <right/>
      <top/>
      <bottom style="medium"/>
    </border>
    <border>
      <left/>
      <right/>
      <top/>
      <bottom style="medium"/>
    </border>
    <border>
      <left style="hair">
        <color rgb="FF969696"/>
      </left>
      <right style="hair">
        <color rgb="FF969696"/>
      </right>
      <top style="hair">
        <color rgb="FF969696"/>
      </top>
      <bottom style="medium"/>
    </border>
    <border>
      <left/>
      <right style="medium"/>
      <top/>
      <bottom style="medium"/>
    </border>
    <border>
      <left style="thin"/>
      <right/>
      <top style="thin"/>
      <bottom/>
    </border>
    <border>
      <left/>
      <right style="thin"/>
      <top/>
      <bottom style="thin"/>
    </border>
    <border>
      <left/>
      <right/>
      <top style="thin"/>
      <bottom style="thin"/>
    </border>
    <border>
      <left style="medium"/>
      <right/>
      <top style="medium"/>
      <bottom/>
    </border>
    <border>
      <left/>
      <right style="medium"/>
      <top style="medium"/>
      <bottom/>
    </border>
    <border>
      <left style="thin"/>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color indexed="63"/>
      </left>
      <right style="hair">
        <color rgb="FF969696"/>
      </right>
      <top style="medium"/>
      <bottom>
        <color indexed="63"/>
      </bottom>
    </border>
    <border>
      <left/>
      <right style="hair">
        <color rgb="FF969696"/>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8" fillId="20" borderId="0" applyNumberFormat="0" applyBorder="0" applyAlignment="0" applyProtection="0"/>
    <xf numFmtId="0" fontId="39"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23" borderId="6" applyNumberFormat="0" applyFont="0" applyAlignment="0" applyProtection="0"/>
    <xf numFmtId="43"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11">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34" borderId="13"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49" fontId="7" fillId="0" borderId="13"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left" vertical="center"/>
      <protection/>
    </xf>
    <xf numFmtId="49" fontId="1" fillId="0" borderId="17" xfId="0" applyNumberFormat="1" applyFont="1" applyFill="1" applyBorder="1" applyAlignment="1" applyProtection="1">
      <alignment horizontal="left" vertical="center"/>
      <protection/>
    </xf>
    <xf numFmtId="49" fontId="9" fillId="33" borderId="18"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right" vertical="top"/>
      <protection/>
    </xf>
    <xf numFmtId="49" fontId="12"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left" vertical="center"/>
      <protection/>
    </xf>
    <xf numFmtId="49" fontId="12" fillId="0" borderId="19" xfId="0" applyNumberFormat="1" applyFont="1" applyFill="1" applyBorder="1" applyAlignment="1" applyProtection="1">
      <alignment horizontal="right" vertical="top"/>
      <protection/>
    </xf>
    <xf numFmtId="49" fontId="4" fillId="33" borderId="18"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49" fontId="3" fillId="0" borderId="25" xfId="0" applyNumberFormat="1" applyFont="1" applyFill="1" applyBorder="1" applyAlignment="1" applyProtection="1">
      <alignment horizontal="center" vertical="center"/>
      <protection/>
    </xf>
    <xf numFmtId="49" fontId="3" fillId="0" borderId="26" xfId="0" applyNumberFormat="1" applyFont="1" applyFill="1" applyBorder="1" applyAlignment="1" applyProtection="1">
      <alignment horizontal="center" vertical="center"/>
      <protection/>
    </xf>
    <xf numFmtId="49" fontId="9" fillId="33" borderId="27" xfId="0" applyNumberFormat="1" applyFont="1" applyFill="1" applyBorder="1" applyAlignment="1" applyProtection="1">
      <alignment horizontal="right" vertical="center"/>
      <protection/>
    </xf>
    <xf numFmtId="49" fontId="10" fillId="34" borderId="28" xfId="0" applyNumberFormat="1" applyFont="1" applyFill="1" applyBorder="1" applyAlignment="1" applyProtection="1">
      <alignment horizontal="right" vertical="center"/>
      <protection/>
    </xf>
    <xf numFmtId="49" fontId="6" fillId="0" borderId="28" xfId="0" applyNumberFormat="1" applyFont="1" applyFill="1" applyBorder="1" applyAlignment="1" applyProtection="1">
      <alignment horizontal="right" vertical="center"/>
      <protection/>
    </xf>
    <xf numFmtId="49" fontId="7" fillId="0" borderId="28" xfId="0" applyNumberFormat="1" applyFont="1" applyFill="1" applyBorder="1" applyAlignment="1" applyProtection="1">
      <alignment horizontal="right" vertical="center"/>
      <protection/>
    </xf>
    <xf numFmtId="0" fontId="1" fillId="0" borderId="29" xfId="0" applyNumberFormat="1" applyFont="1" applyFill="1" applyBorder="1" applyAlignment="1" applyProtection="1">
      <alignment vertical="center"/>
      <protection/>
    </xf>
    <xf numFmtId="49" fontId="10" fillId="34"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 fontId="9" fillId="33" borderId="18"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4" fontId="3" fillId="0" borderId="15" xfId="0"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vertical="center"/>
      <protection/>
    </xf>
    <xf numFmtId="49" fontId="15" fillId="35" borderId="30" xfId="0" applyNumberFormat="1" applyFont="1" applyFill="1" applyBorder="1" applyAlignment="1" applyProtection="1">
      <alignment horizontal="center" vertical="center"/>
      <protection/>
    </xf>
    <xf numFmtId="49" fontId="16" fillId="0" borderId="31" xfId="0" applyNumberFormat="1" applyFont="1" applyFill="1" applyBorder="1" applyAlignment="1" applyProtection="1">
      <alignment horizontal="left" vertical="center"/>
      <protection/>
    </xf>
    <xf numFmtId="49" fontId="16" fillId="0" borderId="32"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vertical="center"/>
      <protection/>
    </xf>
    <xf numFmtId="49" fontId="8" fillId="0" borderId="18" xfId="0" applyNumberFormat="1" applyFont="1" applyFill="1" applyBorder="1" applyAlignment="1" applyProtection="1">
      <alignment horizontal="left" vertical="center"/>
      <protection/>
    </xf>
    <xf numFmtId="49" fontId="17" fillId="0" borderId="30"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7" fillId="0" borderId="30" xfId="0" applyNumberFormat="1" applyFont="1" applyFill="1" applyBorder="1" applyAlignment="1" applyProtection="1">
      <alignment horizontal="right" vertical="center"/>
      <protection/>
    </xf>
    <xf numFmtId="49" fontId="17" fillId="0" borderId="30" xfId="0" applyNumberFormat="1" applyFont="1" applyFill="1" applyBorder="1" applyAlignment="1" applyProtection="1">
      <alignment horizontal="right" vertical="center"/>
      <protection/>
    </xf>
    <xf numFmtId="4" fontId="17" fillId="0" borderId="23" xfId="0" applyNumberFormat="1" applyFont="1" applyFill="1" applyBorder="1" applyAlignment="1" applyProtection="1">
      <alignment horizontal="right" vertical="center"/>
      <protection/>
    </xf>
    <xf numFmtId="0" fontId="1" fillId="0" borderId="27" xfId="0" applyNumberFormat="1" applyFont="1" applyFill="1" applyBorder="1" applyAlignment="1" applyProtection="1">
      <alignment vertical="center"/>
      <protection/>
    </xf>
    <xf numFmtId="0" fontId="1" fillId="0" borderId="28" xfId="0" applyNumberFormat="1" applyFont="1" applyFill="1" applyBorder="1" applyAlignment="1" applyProtection="1">
      <alignment vertical="center"/>
      <protection/>
    </xf>
    <xf numFmtId="0" fontId="1" fillId="0" borderId="35" xfId="0" applyNumberFormat="1" applyFont="1" applyFill="1" applyBorder="1" applyAlignment="1" applyProtection="1">
      <alignment vertical="center"/>
      <protection/>
    </xf>
    <xf numFmtId="4" fontId="16" fillId="35" borderId="36" xfId="0"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protection/>
    </xf>
    <xf numFmtId="49" fontId="6" fillId="36" borderId="37" xfId="0" applyNumberFormat="1" applyFont="1" applyFill="1" applyBorder="1" applyAlignment="1" applyProtection="1">
      <alignment horizontal="left" vertical="center"/>
      <protection/>
    </xf>
    <xf numFmtId="4" fontId="6" fillId="36" borderId="37" xfId="0" applyNumberFormat="1" applyFont="1" applyFill="1" applyBorder="1" applyAlignment="1" applyProtection="1">
      <alignment horizontal="right" vertical="center"/>
      <protection/>
    </xf>
    <xf numFmtId="49" fontId="6" fillId="36" borderId="38"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vertical="center"/>
      <protection/>
    </xf>
    <xf numFmtId="49" fontId="7" fillId="36" borderId="37" xfId="0" applyNumberFormat="1" applyFont="1" applyFill="1" applyBorder="1" applyAlignment="1" applyProtection="1">
      <alignment horizontal="left" vertical="center"/>
      <protection/>
    </xf>
    <xf numFmtId="4" fontId="7" fillId="36" borderId="37" xfId="0" applyNumberFormat="1" applyFont="1" applyFill="1" applyBorder="1" applyAlignment="1" applyProtection="1">
      <alignment horizontal="right" vertical="center"/>
      <protection/>
    </xf>
    <xf numFmtId="49" fontId="7" fillId="36" borderId="38" xfId="0" applyNumberFormat="1" applyFont="1" applyFill="1" applyBorder="1" applyAlignment="1" applyProtection="1">
      <alignment horizontal="right" vertical="center"/>
      <protection/>
    </xf>
    <xf numFmtId="49" fontId="17" fillId="0" borderId="35" xfId="0" applyNumberFormat="1" applyFont="1" applyFill="1" applyBorder="1" applyAlignment="1" applyProtection="1">
      <alignment horizontal="left" vertical="center"/>
      <protection/>
    </xf>
    <xf numFmtId="0" fontId="17" fillId="0" borderId="36" xfId="0" applyNumberFormat="1" applyFont="1" applyFill="1" applyBorder="1" applyAlignment="1" applyProtection="1">
      <alignment horizontal="left" vertical="center"/>
      <protection/>
    </xf>
    <xf numFmtId="0" fontId="1" fillId="0" borderId="0" xfId="46" applyNumberFormat="1" applyFont="1" applyFill="1" applyBorder="1" applyAlignment="1" applyProtection="1">
      <alignment vertical="center"/>
      <protection/>
    </xf>
    <xf numFmtId="0" fontId="1" fillId="0" borderId="0" xfId="46" applyFont="1" applyAlignment="1">
      <alignment vertical="center"/>
      <protection/>
    </xf>
    <xf numFmtId="49" fontId="3" fillId="0" borderId="10" xfId="46" applyNumberFormat="1" applyFont="1" applyFill="1" applyBorder="1" applyAlignment="1" applyProtection="1">
      <alignment horizontal="left" vertical="center"/>
      <protection/>
    </xf>
    <xf numFmtId="49" fontId="3" fillId="0" borderId="16" xfId="46" applyNumberFormat="1" applyFont="1" applyFill="1" applyBorder="1" applyAlignment="1" applyProtection="1">
      <alignment horizontal="left" vertical="center"/>
      <protection/>
    </xf>
    <xf numFmtId="49" fontId="3" fillId="0" borderId="16" xfId="46" applyNumberFormat="1" applyFont="1" applyFill="1" applyBorder="1" applyAlignment="1" applyProtection="1">
      <alignment horizontal="center" vertical="center"/>
      <protection/>
    </xf>
    <xf numFmtId="49" fontId="3" fillId="0" borderId="20" xfId="46" applyNumberFormat="1" applyFont="1" applyFill="1" applyBorder="1" applyAlignment="1" applyProtection="1">
      <alignment horizontal="center" vertical="center"/>
      <protection/>
    </xf>
    <xf numFmtId="49" fontId="3" fillId="0" borderId="25" xfId="46" applyNumberFormat="1" applyFont="1" applyFill="1" applyBorder="1" applyAlignment="1" applyProtection="1">
      <alignment horizontal="center" vertical="center"/>
      <protection/>
    </xf>
    <xf numFmtId="49" fontId="10" fillId="34" borderId="0" xfId="46" applyNumberFormat="1" applyFont="1" applyFill="1" applyBorder="1" applyAlignment="1" applyProtection="1">
      <alignment horizontal="right" vertical="center"/>
      <protection/>
    </xf>
    <xf numFmtId="49" fontId="3" fillId="0" borderId="0" xfId="46" applyNumberFormat="1" applyFont="1" applyFill="1" applyBorder="1" applyAlignment="1" applyProtection="1">
      <alignment horizontal="right" vertical="center"/>
      <protection/>
    </xf>
    <xf numFmtId="49" fontId="1" fillId="0" borderId="11" xfId="46" applyNumberFormat="1" applyFont="1" applyFill="1" applyBorder="1" applyAlignment="1" applyProtection="1">
      <alignment horizontal="left" vertical="center"/>
      <protection/>
    </xf>
    <xf numFmtId="49" fontId="1" fillId="0" borderId="17" xfId="46" applyNumberFormat="1" applyFont="1" applyFill="1" applyBorder="1" applyAlignment="1" applyProtection="1">
      <alignment horizontal="left" vertical="center"/>
      <protection/>
    </xf>
    <xf numFmtId="49" fontId="3" fillId="0" borderId="21" xfId="46" applyNumberFormat="1" applyFont="1" applyFill="1" applyBorder="1" applyAlignment="1" applyProtection="1">
      <alignment horizontal="center" vertical="center"/>
      <protection/>
    </xf>
    <xf numFmtId="49" fontId="3" fillId="0" borderId="26" xfId="46" applyNumberFormat="1" applyFont="1" applyFill="1" applyBorder="1" applyAlignment="1" applyProtection="1">
      <alignment horizontal="center" vertical="center"/>
      <protection/>
    </xf>
    <xf numFmtId="0" fontId="1" fillId="0" borderId="29" xfId="46" applyFont="1" applyBorder="1" applyAlignment="1">
      <alignment vertical="center"/>
      <protection/>
    </xf>
    <xf numFmtId="0" fontId="1" fillId="0" borderId="0" xfId="46" applyFont="1" applyBorder="1" applyAlignment="1">
      <alignment vertical="center"/>
      <protection/>
    </xf>
    <xf numFmtId="49" fontId="1" fillId="0" borderId="0" xfId="46" applyNumberFormat="1" applyFont="1" applyBorder="1" applyAlignment="1">
      <alignment vertical="center"/>
      <protection/>
    </xf>
    <xf numFmtId="0" fontId="19" fillId="0" borderId="39" xfId="46" applyFont="1" applyBorder="1" applyAlignment="1" applyProtection="1">
      <alignment horizontal="center" vertical="center" wrapText="1"/>
      <protection locked="0"/>
    </xf>
    <xf numFmtId="166" fontId="19" fillId="0" borderId="39" xfId="46" applyNumberFormat="1" applyFont="1" applyBorder="1" applyAlignment="1" applyProtection="1">
      <alignment vertical="center"/>
      <protection locked="0"/>
    </xf>
    <xf numFmtId="4" fontId="1" fillId="0" borderId="0" xfId="46" applyNumberFormat="1" applyFont="1" applyBorder="1" applyAlignment="1">
      <alignment vertical="center"/>
      <protection/>
    </xf>
    <xf numFmtId="4" fontId="1" fillId="0" borderId="40" xfId="46" applyNumberFormat="1" applyFont="1" applyBorder="1" applyAlignment="1">
      <alignment vertical="center"/>
      <protection/>
    </xf>
    <xf numFmtId="0" fontId="1" fillId="0" borderId="41" xfId="46" applyFont="1" applyBorder="1" applyAlignment="1">
      <alignment vertical="center"/>
      <protection/>
    </xf>
    <xf numFmtId="0" fontId="1" fillId="0" borderId="42" xfId="46" applyFont="1" applyBorder="1" applyAlignment="1">
      <alignment vertical="center"/>
      <protection/>
    </xf>
    <xf numFmtId="49" fontId="1" fillId="0" borderId="42" xfId="46" applyNumberFormat="1" applyFont="1" applyBorder="1" applyAlignment="1">
      <alignment vertical="center"/>
      <protection/>
    </xf>
    <xf numFmtId="0" fontId="19" fillId="0" borderId="43" xfId="46" applyFont="1" applyBorder="1" applyAlignment="1" applyProtection="1">
      <alignment horizontal="center" vertical="center" wrapText="1"/>
      <protection locked="0"/>
    </xf>
    <xf numFmtId="166" fontId="19" fillId="0" borderId="43" xfId="46" applyNumberFormat="1" applyFont="1" applyBorder="1" applyAlignment="1" applyProtection="1">
      <alignment vertical="center"/>
      <protection locked="0"/>
    </xf>
    <xf numFmtId="4" fontId="1" fillId="0" borderId="42" xfId="46" applyNumberFormat="1" applyFont="1" applyBorder="1" applyAlignment="1">
      <alignment vertical="center"/>
      <protection/>
    </xf>
    <xf numFmtId="4" fontId="1" fillId="0" borderId="44" xfId="46" applyNumberFormat="1" applyFont="1" applyBorder="1" applyAlignment="1">
      <alignment vertical="center"/>
      <protection/>
    </xf>
    <xf numFmtId="4" fontId="1" fillId="0" borderId="0" xfId="46" applyNumberFormat="1" applyFont="1" applyAlignment="1">
      <alignment vertical="center"/>
      <protection/>
    </xf>
    <xf numFmtId="0" fontId="3" fillId="0" borderId="0" xfId="46" applyFont="1" applyAlignment="1">
      <alignment vertical="center"/>
      <protection/>
    </xf>
    <xf numFmtId="4" fontId="3" fillId="0" borderId="0" xfId="46" applyNumberFormat="1" applyFont="1" applyAlignment="1">
      <alignment vertical="center"/>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1" fillId="0" borderId="4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wrapText="1"/>
      <protection/>
    </xf>
    <xf numFmtId="49" fontId="1" fillId="0" borderId="34" xfId="0" applyNumberFormat="1" applyFont="1" applyFill="1" applyBorder="1" applyAlignment="1" applyProtection="1">
      <alignment horizontal="left" vertical="center"/>
      <protection/>
    </xf>
    <xf numFmtId="0" fontId="1" fillId="0" borderId="28"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28"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protection/>
    </xf>
    <xf numFmtId="0" fontId="1" fillId="0" borderId="19" xfId="0" applyNumberFormat="1" applyFont="1" applyFill="1" applyBorder="1" applyAlignment="1" applyProtection="1">
      <alignment horizontal="left" vertical="center"/>
      <protection/>
    </xf>
    <xf numFmtId="0" fontId="1" fillId="0" borderId="28" xfId="0" applyNumberFormat="1" applyFont="1" applyFill="1" applyBorder="1" applyAlignment="1" applyProtection="1">
      <alignment horizontal="left" vertical="center" wrapText="1"/>
      <protection/>
    </xf>
    <xf numFmtId="0" fontId="1" fillId="0" borderId="46" xfId="0" applyNumberFormat="1" applyFont="1" applyFill="1" applyBorder="1" applyAlignment="1" applyProtection="1">
      <alignment horizontal="left" vertical="center"/>
      <protection/>
    </xf>
    <xf numFmtId="49" fontId="14" fillId="0" borderId="47" xfId="0" applyNumberFormat="1" applyFont="1" applyFill="1" applyBorder="1" applyAlignment="1" applyProtection="1">
      <alignment horizontal="center" vertical="center"/>
      <protection/>
    </xf>
    <xf numFmtId="0" fontId="14" fillId="0" borderId="47" xfId="0" applyNumberFormat="1" applyFont="1" applyFill="1" applyBorder="1" applyAlignment="1" applyProtection="1">
      <alignment horizontal="center" vertical="center"/>
      <protection/>
    </xf>
    <xf numFmtId="49" fontId="18" fillId="0" borderId="35" xfId="0" applyNumberFormat="1" applyFont="1" applyFill="1" applyBorder="1" applyAlignment="1" applyProtection="1">
      <alignment horizontal="left" vertical="center"/>
      <protection/>
    </xf>
    <xf numFmtId="0" fontId="18" fillId="0" borderId="36" xfId="0" applyNumberFormat="1" applyFont="1" applyFill="1" applyBorder="1" applyAlignment="1" applyProtection="1">
      <alignment horizontal="left" vertical="center"/>
      <protection/>
    </xf>
    <xf numFmtId="49" fontId="17" fillId="0" borderId="35" xfId="0" applyNumberFormat="1" applyFont="1" applyFill="1" applyBorder="1" applyAlignment="1" applyProtection="1">
      <alignment horizontal="left" vertical="center"/>
      <protection/>
    </xf>
    <xf numFmtId="0" fontId="17" fillId="0" borderId="36" xfId="0" applyNumberFormat="1" applyFont="1" applyFill="1" applyBorder="1" applyAlignment="1" applyProtection="1">
      <alignment horizontal="left" vertical="center"/>
      <protection/>
    </xf>
    <xf numFmtId="49" fontId="16" fillId="0" borderId="35" xfId="0" applyNumberFormat="1" applyFont="1" applyFill="1" applyBorder="1" applyAlignment="1" applyProtection="1">
      <alignment horizontal="left" vertical="center"/>
      <protection/>
    </xf>
    <xf numFmtId="0" fontId="16" fillId="0" borderId="36" xfId="0" applyNumberFormat="1" applyFont="1" applyFill="1" applyBorder="1" applyAlignment="1" applyProtection="1">
      <alignment horizontal="left" vertical="center"/>
      <protection/>
    </xf>
    <xf numFmtId="49" fontId="16" fillId="0" borderId="36" xfId="0" applyNumberFormat="1" applyFont="1" applyFill="1" applyBorder="1" applyAlignment="1" applyProtection="1">
      <alignment horizontal="left" vertical="center"/>
      <protection/>
    </xf>
    <xf numFmtId="49" fontId="16" fillId="35" borderId="35" xfId="0" applyNumberFormat="1" applyFont="1" applyFill="1" applyBorder="1" applyAlignment="1" applyProtection="1">
      <alignment horizontal="left" vertical="center"/>
      <protection/>
    </xf>
    <xf numFmtId="0" fontId="16" fillId="35" borderId="47" xfId="0" applyNumberFormat="1" applyFont="1" applyFill="1" applyBorder="1" applyAlignment="1" applyProtection="1">
      <alignment horizontal="left" vertical="center"/>
      <protection/>
    </xf>
    <xf numFmtId="49" fontId="17" fillId="0" borderId="48" xfId="0" applyNumberFormat="1" applyFont="1" applyFill="1" applyBorder="1" applyAlignment="1" applyProtection="1">
      <alignment horizontal="left" vertical="center"/>
      <protection/>
    </xf>
    <xf numFmtId="0" fontId="17" fillId="0" borderId="18" xfId="0" applyNumberFormat="1" applyFont="1" applyFill="1" applyBorder="1" applyAlignment="1" applyProtection="1">
      <alignment horizontal="left" vertical="center"/>
      <protection/>
    </xf>
    <xf numFmtId="0" fontId="17" fillId="0" borderId="49" xfId="0" applyNumberFormat="1" applyFont="1" applyFill="1" applyBorder="1" applyAlignment="1" applyProtection="1">
      <alignment horizontal="left" vertical="center"/>
      <protection/>
    </xf>
    <xf numFmtId="49" fontId="17" fillId="0" borderId="29"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vertical="center"/>
      <protection/>
    </xf>
    <xf numFmtId="0" fontId="17" fillId="0" borderId="40" xfId="0" applyNumberFormat="1" applyFont="1" applyFill="1" applyBorder="1" applyAlignment="1" applyProtection="1">
      <alignment horizontal="left" vertical="center"/>
      <protection/>
    </xf>
    <xf numFmtId="49" fontId="17" fillId="0" borderId="41" xfId="0" applyNumberFormat="1" applyFont="1" applyFill="1" applyBorder="1" applyAlignment="1" applyProtection="1">
      <alignment horizontal="left" vertical="center"/>
      <protection/>
    </xf>
    <xf numFmtId="0" fontId="17" fillId="0" borderId="42" xfId="0" applyNumberFormat="1" applyFont="1" applyFill="1" applyBorder="1" applyAlignment="1" applyProtection="1">
      <alignment horizontal="left" vertical="center"/>
      <protection/>
    </xf>
    <xf numFmtId="0" fontId="17" fillId="0" borderId="44" xfId="0" applyNumberFormat="1" applyFont="1" applyFill="1" applyBorder="1" applyAlignment="1" applyProtection="1">
      <alignment horizontal="left" vertical="center"/>
      <protection/>
    </xf>
    <xf numFmtId="49" fontId="2" fillId="0" borderId="19" xfId="0" applyNumberFormat="1" applyFont="1" applyFill="1" applyBorder="1" applyAlignment="1" applyProtection="1">
      <alignment horizontal="center"/>
      <protection/>
    </xf>
    <xf numFmtId="49" fontId="1" fillId="0" borderId="15"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horizontal="left" vertical="center"/>
      <protection/>
    </xf>
    <xf numFmtId="0" fontId="1" fillId="0" borderId="50" xfId="0" applyNumberFormat="1" applyFont="1" applyFill="1" applyBorder="1" applyAlignment="1" applyProtection="1">
      <alignment horizontal="left" vertical="center"/>
      <protection/>
    </xf>
    <xf numFmtId="0" fontId="1" fillId="0" borderId="42" xfId="0" applyNumberFormat="1" applyFont="1" applyFill="1" applyBorder="1" applyAlignment="1" applyProtection="1">
      <alignment horizontal="left" vertical="center"/>
      <protection/>
    </xf>
    <xf numFmtId="0" fontId="1" fillId="0" borderId="5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protection/>
    </xf>
    <xf numFmtId="0" fontId="3" fillId="0" borderId="27" xfId="0" applyNumberFormat="1" applyFont="1" applyFill="1" applyBorder="1" applyAlignment="1" applyProtection="1">
      <alignment horizontal="left" vertical="center"/>
      <protection/>
    </xf>
    <xf numFmtId="49" fontId="3" fillId="0" borderId="52" xfId="0" applyNumberFormat="1" applyFont="1" applyFill="1" applyBorder="1" applyAlignment="1" applyProtection="1">
      <alignment horizontal="center" vertical="center"/>
      <protection/>
    </xf>
    <xf numFmtId="0" fontId="3" fillId="0" borderId="53" xfId="0" applyNumberFormat="1" applyFont="1" applyFill="1" applyBorder="1" applyAlignment="1" applyProtection="1">
      <alignment horizontal="center" vertical="center"/>
      <protection/>
    </xf>
    <xf numFmtId="0" fontId="3" fillId="0" borderId="54" xfId="0" applyNumberFormat="1" applyFont="1" applyFill="1" applyBorder="1" applyAlignment="1" applyProtection="1">
      <alignment horizontal="center" vertical="center"/>
      <protection/>
    </xf>
    <xf numFmtId="49" fontId="3" fillId="0" borderId="50" xfId="0" applyNumberFormat="1" applyFont="1" applyFill="1" applyBorder="1" applyAlignment="1" applyProtection="1">
      <alignment horizontal="left" vertical="center"/>
      <protection/>
    </xf>
    <xf numFmtId="0" fontId="3" fillId="0" borderId="42" xfId="0" applyNumberFormat="1" applyFont="1" applyFill="1" applyBorder="1" applyAlignment="1" applyProtection="1">
      <alignment horizontal="left" vertical="center"/>
      <protection/>
    </xf>
    <xf numFmtId="0" fontId="3" fillId="0" borderId="51" xfId="0" applyNumberFormat="1" applyFont="1" applyFill="1" applyBorder="1" applyAlignment="1" applyProtection="1">
      <alignment horizontal="left" vertical="center"/>
      <protection/>
    </xf>
    <xf numFmtId="49" fontId="9" fillId="33" borderId="18" xfId="0" applyNumberFormat="1" applyFont="1" applyFill="1" applyBorder="1" applyAlignment="1" applyProtection="1">
      <alignment horizontal="left" vertical="center"/>
      <protection/>
    </xf>
    <xf numFmtId="0" fontId="9" fillId="33" borderId="18"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0" fontId="10" fillId="34"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protection/>
    </xf>
    <xf numFmtId="0" fontId="11" fillId="0" borderId="28"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protection/>
    </xf>
    <xf numFmtId="0" fontId="12" fillId="0" borderId="28"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left" vertical="center"/>
      <protection/>
    </xf>
    <xf numFmtId="0" fontId="13" fillId="0" borderId="28" xfId="0" applyNumberFormat="1" applyFont="1" applyFill="1" applyBorder="1" applyAlignment="1" applyProtection="1">
      <alignment horizontal="left" vertical="center"/>
      <protection/>
    </xf>
    <xf numFmtId="49" fontId="6" fillId="36" borderId="38" xfId="0" applyNumberFormat="1" applyFont="1" applyFill="1" applyBorder="1" applyAlignment="1" applyProtection="1">
      <alignment horizontal="left" vertical="center"/>
      <protection/>
    </xf>
    <xf numFmtId="0" fontId="6" fillId="0" borderId="37"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49" fontId="7" fillId="36" borderId="38" xfId="0" applyNumberFormat="1" applyFont="1" applyFill="1" applyBorder="1" applyAlignment="1" applyProtection="1">
      <alignment horizontal="left" vertical="center"/>
      <protection/>
    </xf>
    <xf numFmtId="0" fontId="7" fillId="0" borderId="37" xfId="0" applyNumberFormat="1" applyFont="1" applyFill="1" applyBorder="1" applyAlignment="1" applyProtection="1">
      <alignment horizontal="left" vertical="center"/>
      <protection/>
    </xf>
    <xf numFmtId="0" fontId="12" fillId="0" borderId="19" xfId="0" applyNumberFormat="1" applyFont="1" applyFill="1" applyBorder="1" applyAlignment="1" applyProtection="1">
      <alignment horizontal="left" vertical="top" wrapText="1"/>
      <protection/>
    </xf>
    <xf numFmtId="0" fontId="12" fillId="0" borderId="19" xfId="0" applyNumberFormat="1" applyFont="1" applyFill="1" applyBorder="1" applyAlignment="1" applyProtection="1">
      <alignment horizontal="left" vertical="top"/>
      <protection/>
    </xf>
    <xf numFmtId="0" fontId="12" fillId="0" borderId="46" xfId="0" applyNumberFormat="1" applyFont="1" applyFill="1" applyBorder="1" applyAlignment="1" applyProtection="1">
      <alignment horizontal="left" vertical="top"/>
      <protection/>
    </xf>
    <xf numFmtId="49" fontId="3" fillId="0" borderId="15" xfId="0" applyNumberFormat="1" applyFont="1" applyFill="1" applyBorder="1" applyAlignment="1" applyProtection="1">
      <alignment horizontal="left" vertical="center"/>
      <protection/>
    </xf>
    <xf numFmtId="0" fontId="1" fillId="0" borderId="48" xfId="46" applyNumberFormat="1" applyFont="1" applyFill="1" applyBorder="1" applyAlignment="1" applyProtection="1">
      <alignment horizontal="left" vertical="center" wrapText="1"/>
      <protection/>
    </xf>
    <xf numFmtId="0" fontId="1" fillId="0" borderId="18" xfId="46" applyNumberFormat="1" applyFont="1" applyFill="1" applyBorder="1" applyAlignment="1" applyProtection="1">
      <alignment horizontal="left" vertical="center"/>
      <protection/>
    </xf>
    <xf numFmtId="0" fontId="1" fillId="0" borderId="29" xfId="46" applyNumberFormat="1" applyFont="1" applyFill="1" applyBorder="1" applyAlignment="1" applyProtection="1">
      <alignment horizontal="left" vertical="center"/>
      <protection/>
    </xf>
    <xf numFmtId="0" fontId="1" fillId="0" borderId="0" xfId="46" applyNumberFormat="1" applyFont="1" applyFill="1" applyBorder="1" applyAlignment="1" applyProtection="1">
      <alignment horizontal="left" vertical="center"/>
      <protection/>
    </xf>
    <xf numFmtId="0" fontId="3" fillId="0" borderId="18" xfId="46" applyNumberFormat="1" applyFont="1" applyFill="1" applyBorder="1" applyAlignment="1" applyProtection="1">
      <alignment horizontal="left" vertical="center" wrapText="1"/>
      <protection/>
    </xf>
    <xf numFmtId="0" fontId="3" fillId="0" borderId="18" xfId="46" applyNumberFormat="1" applyFont="1" applyFill="1" applyBorder="1" applyAlignment="1" applyProtection="1">
      <alignment horizontal="left" vertical="center"/>
      <protection/>
    </xf>
    <xf numFmtId="0" fontId="3" fillId="0" borderId="0" xfId="46" applyNumberFormat="1" applyFont="1" applyFill="1" applyBorder="1" applyAlignment="1" applyProtection="1">
      <alignment horizontal="left" vertical="center"/>
      <protection/>
    </xf>
    <xf numFmtId="49" fontId="1" fillId="0" borderId="18" xfId="46" applyNumberFormat="1" applyFont="1" applyFill="1" applyBorder="1" applyAlignment="1" applyProtection="1">
      <alignment horizontal="left" vertical="center"/>
      <protection/>
    </xf>
    <xf numFmtId="49" fontId="1" fillId="0" borderId="0" xfId="46" applyNumberFormat="1" applyFont="1" applyFill="1" applyBorder="1" applyAlignment="1" applyProtection="1">
      <alignment horizontal="left" vertical="center"/>
      <protection/>
    </xf>
    <xf numFmtId="49" fontId="1" fillId="0" borderId="49" xfId="46" applyNumberFormat="1" applyFont="1" applyFill="1" applyBorder="1" applyAlignment="1" applyProtection="1">
      <alignment horizontal="left" vertical="center"/>
      <protection/>
    </xf>
    <xf numFmtId="0" fontId="1" fillId="0" borderId="40" xfId="46" applyNumberFormat="1" applyFont="1" applyFill="1" applyBorder="1" applyAlignment="1" applyProtection="1">
      <alignment horizontal="left" vertical="center"/>
      <protection/>
    </xf>
    <xf numFmtId="0" fontId="1" fillId="0" borderId="29" xfId="46" applyNumberFormat="1" applyFont="1" applyFill="1" applyBorder="1" applyAlignment="1" applyProtection="1">
      <alignment horizontal="left" vertical="center" wrapText="1"/>
      <protection/>
    </xf>
    <xf numFmtId="0" fontId="1" fillId="0" borderId="0" xfId="46" applyNumberFormat="1" applyFont="1" applyFill="1" applyBorder="1" applyAlignment="1" applyProtection="1">
      <alignment horizontal="left" vertical="center" wrapText="1"/>
      <protection/>
    </xf>
    <xf numFmtId="49" fontId="1" fillId="0" borderId="40" xfId="46" applyNumberFormat="1" applyFont="1" applyFill="1" applyBorder="1" applyAlignment="1" applyProtection="1">
      <alignment horizontal="left" vertical="center"/>
      <protection/>
    </xf>
    <xf numFmtId="0" fontId="1" fillId="0" borderId="0" xfId="46" applyNumberFormat="1" applyFont="1" applyFill="1" applyBorder="1" applyAlignment="1" applyProtection="1">
      <alignment horizontal="center" vertical="center"/>
      <protection/>
    </xf>
    <xf numFmtId="0" fontId="1" fillId="0" borderId="40" xfId="46" applyNumberFormat="1" applyFont="1" applyFill="1" applyBorder="1" applyAlignment="1" applyProtection="1">
      <alignment horizontal="center" vertical="center"/>
      <protection/>
    </xf>
    <xf numFmtId="0" fontId="1" fillId="0" borderId="41" xfId="46" applyNumberFormat="1" applyFont="1" applyFill="1" applyBorder="1" applyAlignment="1" applyProtection="1">
      <alignment horizontal="left" vertical="center"/>
      <protection/>
    </xf>
    <xf numFmtId="0" fontId="1" fillId="0" borderId="42" xfId="46" applyNumberFormat="1" applyFont="1" applyFill="1" applyBorder="1" applyAlignment="1" applyProtection="1">
      <alignment horizontal="left" vertical="center"/>
      <protection/>
    </xf>
    <xf numFmtId="0" fontId="1" fillId="0" borderId="42" xfId="46" applyNumberFormat="1" applyFont="1" applyFill="1" applyBorder="1" applyAlignment="1" applyProtection="1">
      <alignment horizontal="center" vertical="center"/>
      <protection/>
    </xf>
    <xf numFmtId="0" fontId="1" fillId="0" borderId="44" xfId="46" applyNumberFormat="1" applyFont="1" applyFill="1" applyBorder="1" applyAlignment="1" applyProtection="1">
      <alignment horizontal="center" vertical="center"/>
      <protection/>
    </xf>
    <xf numFmtId="49" fontId="3" fillId="0" borderId="12" xfId="46" applyNumberFormat="1" applyFont="1" applyFill="1" applyBorder="1" applyAlignment="1" applyProtection="1">
      <alignment horizontal="left" vertical="center"/>
      <protection/>
    </xf>
    <xf numFmtId="0" fontId="3" fillId="0" borderId="27" xfId="46" applyNumberFormat="1" applyFont="1" applyFill="1" applyBorder="1" applyAlignment="1" applyProtection="1">
      <alignment horizontal="left" vertical="center"/>
      <protection/>
    </xf>
    <xf numFmtId="49" fontId="3" fillId="0" borderId="50" xfId="46" applyNumberFormat="1" applyFont="1" applyFill="1" applyBorder="1" applyAlignment="1" applyProtection="1">
      <alignment horizontal="left" vertical="center"/>
      <protection/>
    </xf>
    <xf numFmtId="0" fontId="3" fillId="0" borderId="51" xfId="46" applyNumberFormat="1" applyFont="1" applyFill="1" applyBorder="1" applyAlignment="1" applyProtection="1">
      <alignment horizontal="left" vertical="center"/>
      <protection/>
    </xf>
    <xf numFmtId="0" fontId="19" fillId="0" borderId="18" xfId="46" applyFont="1" applyBorder="1" applyAlignment="1" applyProtection="1">
      <alignment horizontal="left" vertical="center" wrapText="1"/>
      <protection locked="0"/>
    </xf>
    <xf numFmtId="0" fontId="19" fillId="0" borderId="55" xfId="46" applyFont="1" applyBorder="1" applyAlignment="1" applyProtection="1">
      <alignment horizontal="left" vertical="center" wrapText="1"/>
      <protection locked="0"/>
    </xf>
    <xf numFmtId="0" fontId="1" fillId="0" borderId="0" xfId="46" applyFont="1" applyBorder="1" applyAlignment="1">
      <alignment horizontal="left" vertical="center"/>
      <protection/>
    </xf>
    <xf numFmtId="0" fontId="1" fillId="0" borderId="56" xfId="46" applyFont="1" applyBorder="1" applyAlignment="1">
      <alignment horizontal="left" vertical="center"/>
      <protection/>
    </xf>
    <xf numFmtId="0" fontId="1" fillId="0" borderId="42" xfId="46" applyFont="1" applyBorder="1" applyAlignment="1">
      <alignment horizontal="left" vertical="center"/>
      <protection/>
    </xf>
  </cellXfs>
  <cellStyles count="4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953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657225</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9048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F38" sqref="F38"/>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62"/>
      <c r="B1" s="46"/>
      <c r="C1" s="102" t="s">
        <v>492</v>
      </c>
      <c r="D1" s="103"/>
      <c r="E1" s="103"/>
      <c r="F1" s="103"/>
      <c r="G1" s="103"/>
      <c r="H1" s="103"/>
      <c r="I1" s="103"/>
    </row>
    <row r="2" spans="1:10" ht="12.75">
      <c r="A2" s="104" t="s">
        <v>1</v>
      </c>
      <c r="B2" s="105"/>
      <c r="C2" s="108" t="str">
        <f>'Stavební rozpočet'!C2</f>
        <v>Oprava fasády - budova B - klášter</v>
      </c>
      <c r="D2" s="109"/>
      <c r="E2" s="111" t="s">
        <v>404</v>
      </c>
      <c r="F2" s="111" t="str">
        <f>'Stavební rozpočet'!J2</f>
        <v>Psychiatrická nemocnice Horní Beřkovice</v>
      </c>
      <c r="G2" s="105"/>
      <c r="H2" s="111" t="s">
        <v>515</v>
      </c>
      <c r="I2" s="112" t="s">
        <v>519</v>
      </c>
      <c r="J2" s="6"/>
    </row>
    <row r="3" spans="1:10" ht="12.75">
      <c r="A3" s="106"/>
      <c r="B3" s="107"/>
      <c r="C3" s="110"/>
      <c r="D3" s="110"/>
      <c r="E3" s="107"/>
      <c r="F3" s="107"/>
      <c r="G3" s="107"/>
      <c r="H3" s="107"/>
      <c r="I3" s="113"/>
      <c r="J3" s="6"/>
    </row>
    <row r="4" spans="1:10" ht="12.75">
      <c r="A4" s="114" t="s">
        <v>2</v>
      </c>
      <c r="B4" s="107"/>
      <c r="C4" s="115" t="str">
        <f>'Stavební rozpočet'!C4</f>
        <v>Zdravotnické zařízení</v>
      </c>
      <c r="D4" s="107"/>
      <c r="E4" s="115" t="s">
        <v>405</v>
      </c>
      <c r="F4" s="115" t="str">
        <f>'Stavební rozpočet'!J4</f>
        <v> </v>
      </c>
      <c r="G4" s="107"/>
      <c r="H4" s="115" t="s">
        <v>515</v>
      </c>
      <c r="I4" s="116"/>
      <c r="J4" s="6"/>
    </row>
    <row r="5" spans="1:10" ht="12.75">
      <c r="A5" s="106"/>
      <c r="B5" s="107"/>
      <c r="C5" s="107"/>
      <c r="D5" s="107"/>
      <c r="E5" s="107"/>
      <c r="F5" s="107"/>
      <c r="G5" s="107"/>
      <c r="H5" s="107"/>
      <c r="I5" s="113"/>
      <c r="J5" s="6"/>
    </row>
    <row r="6" spans="1:10" ht="12.75">
      <c r="A6" s="114" t="s">
        <v>3</v>
      </c>
      <c r="B6" s="107"/>
      <c r="C6" s="115" t="str">
        <f>'Stavební rozpočet'!C6</f>
        <v>Areál PN Horní Beřkovice</v>
      </c>
      <c r="D6" s="107"/>
      <c r="E6" s="115" t="s">
        <v>406</v>
      </c>
      <c r="F6" s="115" t="str">
        <f>'Stavební rozpočet'!J6</f>
        <v> </v>
      </c>
      <c r="G6" s="107"/>
      <c r="H6" s="115" t="s">
        <v>515</v>
      </c>
      <c r="I6" s="116"/>
      <c r="J6" s="6"/>
    </row>
    <row r="7" spans="1:10" ht="12.75">
      <c r="A7" s="106"/>
      <c r="B7" s="107"/>
      <c r="C7" s="107"/>
      <c r="D7" s="107"/>
      <c r="E7" s="107"/>
      <c r="F7" s="107"/>
      <c r="G7" s="107"/>
      <c r="H7" s="107"/>
      <c r="I7" s="113"/>
      <c r="J7" s="6"/>
    </row>
    <row r="8" spans="1:10" ht="12.75">
      <c r="A8" s="114" t="s">
        <v>387</v>
      </c>
      <c r="B8" s="107"/>
      <c r="C8" s="115" t="str">
        <f>'Stavební rozpočet'!G4</f>
        <v>01.08.2021</v>
      </c>
      <c r="D8" s="107"/>
      <c r="E8" s="115" t="s">
        <v>388</v>
      </c>
      <c r="F8" s="115" t="str">
        <f>'Stavební rozpočet'!G6</f>
        <v>28.11.2021</v>
      </c>
      <c r="G8" s="107"/>
      <c r="H8" s="117" t="s">
        <v>516</v>
      </c>
      <c r="I8" s="116" t="s">
        <v>599</v>
      </c>
      <c r="J8" s="6"/>
    </row>
    <row r="9" spans="1:10" ht="12.75">
      <c r="A9" s="106"/>
      <c r="B9" s="107"/>
      <c r="C9" s="107"/>
      <c r="D9" s="107"/>
      <c r="E9" s="107"/>
      <c r="F9" s="107"/>
      <c r="G9" s="107"/>
      <c r="H9" s="107"/>
      <c r="I9" s="113"/>
      <c r="J9" s="6"/>
    </row>
    <row r="10" spans="1:10" ht="12.75">
      <c r="A10" s="114" t="s">
        <v>4</v>
      </c>
      <c r="B10" s="107"/>
      <c r="C10" s="115" t="str">
        <f>'Stavební rozpočet'!C8</f>
        <v> </v>
      </c>
      <c r="D10" s="107"/>
      <c r="E10" s="115" t="s">
        <v>407</v>
      </c>
      <c r="F10" s="115" t="str">
        <f>'Stavební rozpočet'!J8</f>
        <v>Roman Antoš, stavební technik a zam</v>
      </c>
      <c r="G10" s="107"/>
      <c r="H10" s="117" t="s">
        <v>517</v>
      </c>
      <c r="I10" s="120" t="str">
        <f>'Stavební rozpočet'!G8</f>
        <v>01.06.2021</v>
      </c>
      <c r="J10" s="6"/>
    </row>
    <row r="11" spans="1:10" ht="12.75">
      <c r="A11" s="118"/>
      <c r="B11" s="119"/>
      <c r="C11" s="119"/>
      <c r="D11" s="119"/>
      <c r="E11" s="119"/>
      <c r="F11" s="119"/>
      <c r="G11" s="119"/>
      <c r="H11" s="119"/>
      <c r="I11" s="121"/>
      <c r="J11" s="6"/>
    </row>
    <row r="12" spans="1:9" ht="23.25" customHeight="1">
      <c r="A12" s="122" t="s">
        <v>480</v>
      </c>
      <c r="B12" s="123"/>
      <c r="C12" s="123"/>
      <c r="D12" s="123"/>
      <c r="E12" s="123"/>
      <c r="F12" s="123"/>
      <c r="G12" s="123"/>
      <c r="H12" s="123"/>
      <c r="I12" s="123"/>
    </row>
    <row r="13" spans="1:10" ht="26.25" customHeight="1">
      <c r="A13" s="47" t="s">
        <v>481</v>
      </c>
      <c r="B13" s="124" t="s">
        <v>490</v>
      </c>
      <c r="C13" s="125"/>
      <c r="D13" s="47" t="s">
        <v>493</v>
      </c>
      <c r="E13" s="124" t="s">
        <v>501</v>
      </c>
      <c r="F13" s="125"/>
      <c r="G13" s="47" t="s">
        <v>502</v>
      </c>
      <c r="H13" s="124" t="s">
        <v>518</v>
      </c>
      <c r="I13" s="125"/>
      <c r="J13" s="6"/>
    </row>
    <row r="14" spans="1:10" ht="15" customHeight="1">
      <c r="A14" s="48" t="s">
        <v>482</v>
      </c>
      <c r="B14" s="52" t="s">
        <v>491</v>
      </c>
      <c r="C14" s="55">
        <f>SUM('Stavební rozpočet'!AB12:AB228)</f>
        <v>0</v>
      </c>
      <c r="D14" s="126" t="s">
        <v>494</v>
      </c>
      <c r="E14" s="127"/>
      <c r="F14" s="55">
        <v>0</v>
      </c>
      <c r="G14" s="126" t="s">
        <v>371</v>
      </c>
      <c r="H14" s="127"/>
      <c r="I14" s="56" t="s">
        <v>430</v>
      </c>
      <c r="J14" s="6"/>
    </row>
    <row r="15" spans="1:10" ht="15" customHeight="1">
      <c r="A15" s="49"/>
      <c r="B15" s="52" t="s">
        <v>416</v>
      </c>
      <c r="C15" s="55">
        <f>SUM('Stavební rozpočet'!AC12:AC228)</f>
        <v>0</v>
      </c>
      <c r="D15" s="126" t="s">
        <v>495</v>
      </c>
      <c r="E15" s="127"/>
      <c r="F15" s="55">
        <v>0</v>
      </c>
      <c r="G15" s="126" t="s">
        <v>503</v>
      </c>
      <c r="H15" s="127"/>
      <c r="I15" s="56" t="s">
        <v>430</v>
      </c>
      <c r="J15" s="6"/>
    </row>
    <row r="16" spans="1:10" ht="15" customHeight="1">
      <c r="A16" s="48" t="s">
        <v>483</v>
      </c>
      <c r="B16" s="52" t="s">
        <v>491</v>
      </c>
      <c r="C16" s="55">
        <f>SUM('Stavební rozpočet'!AD12:AD228)</f>
        <v>0</v>
      </c>
      <c r="D16" s="126" t="s">
        <v>496</v>
      </c>
      <c r="E16" s="127"/>
      <c r="F16" s="55">
        <v>0</v>
      </c>
      <c r="G16" s="126" t="s">
        <v>504</v>
      </c>
      <c r="H16" s="127"/>
      <c r="I16" s="56" t="s">
        <v>430</v>
      </c>
      <c r="J16" s="6"/>
    </row>
    <row r="17" spans="1:10" ht="15" customHeight="1">
      <c r="A17" s="49"/>
      <c r="B17" s="52" t="s">
        <v>416</v>
      </c>
      <c r="C17" s="55">
        <f>SUM('Stavební rozpočet'!AE12:AE228)</f>
        <v>0</v>
      </c>
      <c r="D17" s="126"/>
      <c r="E17" s="127"/>
      <c r="F17" s="56"/>
      <c r="G17" s="126" t="s">
        <v>505</v>
      </c>
      <c r="H17" s="127"/>
      <c r="I17" s="56" t="s">
        <v>430</v>
      </c>
      <c r="J17" s="6"/>
    </row>
    <row r="18" spans="1:10" ht="15" customHeight="1">
      <c r="A18" s="48" t="s">
        <v>484</v>
      </c>
      <c r="B18" s="52" t="s">
        <v>491</v>
      </c>
      <c r="C18" s="55">
        <f>SUM('Stavební rozpočet'!AF12:AF228)</f>
        <v>0</v>
      </c>
      <c r="D18" s="126"/>
      <c r="E18" s="127"/>
      <c r="F18" s="56"/>
      <c r="G18" s="126" t="s">
        <v>506</v>
      </c>
      <c r="H18" s="127"/>
      <c r="I18" s="56" t="s">
        <v>430</v>
      </c>
      <c r="J18" s="6"/>
    </row>
    <row r="19" spans="1:10" ht="15" customHeight="1">
      <c r="A19" s="49"/>
      <c r="B19" s="52" t="s">
        <v>416</v>
      </c>
      <c r="C19" s="55">
        <f>SUM('Stavební rozpočet'!AG12:AG228)</f>
        <v>0</v>
      </c>
      <c r="D19" s="126"/>
      <c r="E19" s="127"/>
      <c r="F19" s="56"/>
      <c r="G19" s="126" t="s">
        <v>507</v>
      </c>
      <c r="H19" s="127"/>
      <c r="I19" s="56" t="s">
        <v>430</v>
      </c>
      <c r="J19" s="6"/>
    </row>
    <row r="20" spans="1:10" ht="15" customHeight="1">
      <c r="A20" s="128" t="s">
        <v>352</v>
      </c>
      <c r="B20" s="129"/>
      <c r="C20" s="55">
        <f>SUM('Stavební rozpočet'!AH12:AH228)</f>
        <v>0</v>
      </c>
      <c r="D20" s="126"/>
      <c r="E20" s="127"/>
      <c r="F20" s="56"/>
      <c r="G20" s="126"/>
      <c r="H20" s="127"/>
      <c r="I20" s="56"/>
      <c r="J20" s="6"/>
    </row>
    <row r="21" spans="1:10" ht="15" customHeight="1">
      <c r="A21" s="128" t="s">
        <v>485</v>
      </c>
      <c r="B21" s="129"/>
      <c r="C21" s="55">
        <f>SUM('Stavební rozpočet'!Z12:Z228)</f>
        <v>0</v>
      </c>
      <c r="D21" s="126"/>
      <c r="E21" s="127"/>
      <c r="F21" s="56"/>
      <c r="G21" s="126"/>
      <c r="H21" s="127"/>
      <c r="I21" s="56"/>
      <c r="J21" s="6"/>
    </row>
    <row r="22" spans="1:10" ht="15" customHeight="1">
      <c r="A22" s="128" t="s">
        <v>598</v>
      </c>
      <c r="B22" s="130"/>
      <c r="C22" s="55">
        <f>Elektroinstalace!I52</f>
        <v>0</v>
      </c>
      <c r="D22" s="70"/>
      <c r="E22" s="71"/>
      <c r="F22" s="56"/>
      <c r="G22" s="70"/>
      <c r="H22" s="71"/>
      <c r="I22" s="56"/>
      <c r="J22" s="6"/>
    </row>
    <row r="23" spans="1:10" ht="16.5" customHeight="1">
      <c r="A23" s="128" t="s">
        <v>486</v>
      </c>
      <c r="B23" s="129"/>
      <c r="C23" s="55">
        <f>SUM(C14:C22)</f>
        <v>0</v>
      </c>
      <c r="D23" s="128" t="s">
        <v>497</v>
      </c>
      <c r="E23" s="129"/>
      <c r="F23" s="55">
        <f>SUM(F14:F21)</f>
        <v>0</v>
      </c>
      <c r="G23" s="128" t="s">
        <v>508</v>
      </c>
      <c r="H23" s="129"/>
      <c r="I23" s="55">
        <f>SUM(I14:I21)</f>
        <v>0</v>
      </c>
      <c r="J23" s="6"/>
    </row>
    <row r="24" spans="1:10" ht="15" customHeight="1">
      <c r="A24" s="9"/>
      <c r="B24" s="9"/>
      <c r="C24" s="54"/>
      <c r="D24" s="128" t="s">
        <v>498</v>
      </c>
      <c r="E24" s="129"/>
      <c r="F24" s="57">
        <v>0</v>
      </c>
      <c r="G24" s="128" t="s">
        <v>509</v>
      </c>
      <c r="H24" s="129"/>
      <c r="I24" s="55">
        <v>0</v>
      </c>
      <c r="J24" s="6"/>
    </row>
    <row r="25" spans="4:9" ht="15" customHeight="1">
      <c r="D25" s="9"/>
      <c r="E25" s="9"/>
      <c r="F25" s="58"/>
      <c r="G25" s="128" t="s">
        <v>510</v>
      </c>
      <c r="H25" s="129"/>
      <c r="I25" s="60"/>
    </row>
    <row r="26" spans="6:10" ht="15" customHeight="1">
      <c r="F26" s="59"/>
      <c r="G26" s="128" t="s">
        <v>511</v>
      </c>
      <c r="H26" s="129"/>
      <c r="I26" s="55">
        <v>0</v>
      </c>
      <c r="J26" s="6"/>
    </row>
    <row r="27" spans="1:9" ht="12.75">
      <c r="A27" s="46"/>
      <c r="B27" s="46"/>
      <c r="C27" s="46"/>
      <c r="G27" s="9"/>
      <c r="H27" s="9"/>
      <c r="I27" s="9"/>
    </row>
    <row r="28" spans="1:4" ht="15" customHeight="1">
      <c r="A28" s="131" t="s">
        <v>512</v>
      </c>
      <c r="B28" s="132"/>
      <c r="C28" s="61">
        <f>C23</f>
        <v>0</v>
      </c>
      <c r="D28" s="6"/>
    </row>
    <row r="29" spans="1:10" ht="15" customHeight="1">
      <c r="A29" s="131" t="s">
        <v>487</v>
      </c>
      <c r="B29" s="132"/>
      <c r="C29" s="61">
        <f>C28</f>
        <v>0</v>
      </c>
      <c r="D29" s="131" t="s">
        <v>499</v>
      </c>
      <c r="E29" s="132"/>
      <c r="F29" s="61">
        <f>ROUND(C29*(21/100),2)</f>
        <v>0</v>
      </c>
      <c r="G29" s="131" t="s">
        <v>513</v>
      </c>
      <c r="H29" s="132"/>
      <c r="I29" s="61">
        <f>SUM(F29:F29)+C28</f>
        <v>0</v>
      </c>
      <c r="J29" s="6"/>
    </row>
    <row r="30" spans="1:9" ht="12.75">
      <c r="A30" s="50"/>
      <c r="B30" s="50"/>
      <c r="C30" s="50"/>
      <c r="D30" s="50"/>
      <c r="E30" s="50"/>
      <c r="F30" s="50"/>
      <c r="G30" s="50"/>
      <c r="H30" s="50"/>
      <c r="I30" s="50"/>
    </row>
    <row r="31" spans="1:10" ht="14.25" customHeight="1">
      <c r="A31" s="133" t="s">
        <v>488</v>
      </c>
      <c r="B31" s="134"/>
      <c r="C31" s="135"/>
      <c r="D31" s="133" t="s">
        <v>500</v>
      </c>
      <c r="E31" s="134"/>
      <c r="F31" s="135"/>
      <c r="G31" s="133" t="s">
        <v>514</v>
      </c>
      <c r="H31" s="134"/>
      <c r="I31" s="135"/>
      <c r="J31" s="36"/>
    </row>
    <row r="32" spans="1:10" ht="14.25" customHeight="1">
      <c r="A32" s="136"/>
      <c r="B32" s="137"/>
      <c r="C32" s="138"/>
      <c r="D32" s="136"/>
      <c r="E32" s="137"/>
      <c r="F32" s="138"/>
      <c r="G32" s="136"/>
      <c r="H32" s="137"/>
      <c r="I32" s="138"/>
      <c r="J32" s="36"/>
    </row>
    <row r="33" spans="1:10" ht="14.25" customHeight="1">
      <c r="A33" s="136"/>
      <c r="B33" s="137"/>
      <c r="C33" s="138"/>
      <c r="D33" s="136"/>
      <c r="E33" s="137"/>
      <c r="F33" s="138"/>
      <c r="G33" s="136"/>
      <c r="H33" s="137"/>
      <c r="I33" s="138"/>
      <c r="J33" s="36"/>
    </row>
    <row r="34" spans="1:10" ht="14.25" customHeight="1">
      <c r="A34" s="136"/>
      <c r="B34" s="137"/>
      <c r="C34" s="138"/>
      <c r="D34" s="136"/>
      <c r="E34" s="137"/>
      <c r="F34" s="138"/>
      <c r="G34" s="136"/>
      <c r="H34" s="137"/>
      <c r="I34" s="138"/>
      <c r="J34" s="36"/>
    </row>
    <row r="35" spans="1:10" ht="14.25" customHeight="1">
      <c r="A35" s="139" t="s">
        <v>489</v>
      </c>
      <c r="B35" s="140"/>
      <c r="C35" s="141"/>
      <c r="D35" s="139" t="s">
        <v>489</v>
      </c>
      <c r="E35" s="140"/>
      <c r="F35" s="141"/>
      <c r="G35" s="139" t="s">
        <v>489</v>
      </c>
      <c r="H35" s="140"/>
      <c r="I35" s="141"/>
      <c r="J35" s="36"/>
    </row>
    <row r="36" spans="1:9" ht="11.25" customHeight="1">
      <c r="A36" s="51" t="s">
        <v>84</v>
      </c>
      <c r="B36" s="53"/>
      <c r="C36" s="53"/>
      <c r="D36" s="53"/>
      <c r="E36" s="53"/>
      <c r="F36" s="53"/>
      <c r="G36" s="53"/>
      <c r="H36" s="53"/>
      <c r="I36" s="53"/>
    </row>
    <row r="37" spans="1:9" ht="12.75">
      <c r="A37" s="115"/>
      <c r="B37" s="107"/>
      <c r="C37" s="107"/>
      <c r="D37" s="107"/>
      <c r="E37" s="107"/>
      <c r="F37" s="107"/>
      <c r="G37" s="107"/>
      <c r="H37" s="107"/>
      <c r="I37" s="107"/>
    </row>
  </sheetData>
  <sheetProtection/>
  <mergeCells count="81">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4:E24"/>
    <mergeCell ref="G24:H24"/>
    <mergeCell ref="G25:H25"/>
    <mergeCell ref="G26:H26"/>
    <mergeCell ref="A28:B28"/>
    <mergeCell ref="A21:B21"/>
    <mergeCell ref="D21:E21"/>
    <mergeCell ref="G21:H21"/>
    <mergeCell ref="A23:B23"/>
    <mergeCell ref="D23:E23"/>
    <mergeCell ref="G23:H23"/>
    <mergeCell ref="A22:B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BL231"/>
  <sheetViews>
    <sheetView zoomScalePageLayoutView="0" workbookViewId="0" topLeftCell="A1">
      <pane ySplit="11" topLeftCell="A57" activePane="bottomLeft" state="frozen"/>
      <selection pane="topLeft" activeCell="A1" sqref="A1"/>
      <selection pane="bottomLeft" activeCell="P22" sqref="P22"/>
    </sheetView>
  </sheetViews>
  <sheetFormatPr defaultColWidth="11.57421875" defaultRowHeight="12.75"/>
  <cols>
    <col min="1" max="1" width="3.7109375" style="0" customWidth="1"/>
    <col min="2" max="2" width="14.28125" style="0" customWidth="1"/>
    <col min="3" max="3" width="1.421875" style="0" customWidth="1"/>
    <col min="4" max="4" width="45.140625" style="0" customWidth="1"/>
    <col min="5" max="6" width="11.57421875" style="0" customWidth="1"/>
    <col min="7" max="7" width="6.7109375" style="0" customWidth="1"/>
    <col min="8" max="8" width="12.8515625" style="0" customWidth="1"/>
    <col min="9" max="9" width="12.00390625" style="0" customWidth="1"/>
    <col min="10" max="11" width="14.28125" style="0" hidden="1" customWidth="1"/>
    <col min="12" max="12" width="14.28125" style="0" customWidth="1"/>
    <col min="13" max="13" width="11.7109375" style="0" customWidth="1"/>
    <col min="14" max="24" width="11.57421875" style="0" customWidth="1"/>
    <col min="25" max="64" width="12.140625" style="0" hidden="1" customWidth="1"/>
  </cols>
  <sheetData>
    <row r="1" spans="1:13" ht="72.75" customHeight="1">
      <c r="A1" s="142" t="s">
        <v>0</v>
      </c>
      <c r="B1" s="103"/>
      <c r="C1" s="103"/>
      <c r="D1" s="103"/>
      <c r="E1" s="103"/>
      <c r="F1" s="103"/>
      <c r="G1" s="103"/>
      <c r="H1" s="103"/>
      <c r="I1" s="103"/>
      <c r="J1" s="103"/>
      <c r="K1" s="103"/>
      <c r="L1" s="103"/>
      <c r="M1" s="103"/>
    </row>
    <row r="2" spans="1:14" ht="12.75">
      <c r="A2" s="104" t="s">
        <v>1</v>
      </c>
      <c r="B2" s="105"/>
      <c r="C2" s="108" t="s">
        <v>182</v>
      </c>
      <c r="D2" s="109"/>
      <c r="E2" s="143" t="s">
        <v>386</v>
      </c>
      <c r="F2" s="105"/>
      <c r="G2" s="143" t="s">
        <v>319</v>
      </c>
      <c r="H2" s="105"/>
      <c r="I2" s="111" t="s">
        <v>404</v>
      </c>
      <c r="J2" s="111" t="s">
        <v>410</v>
      </c>
      <c r="K2" s="105"/>
      <c r="L2" s="105"/>
      <c r="M2" s="144"/>
      <c r="N2" s="6"/>
    </row>
    <row r="3" spans="1:14" ht="12.75">
      <c r="A3" s="106"/>
      <c r="B3" s="107"/>
      <c r="C3" s="110"/>
      <c r="D3" s="110"/>
      <c r="E3" s="107"/>
      <c r="F3" s="107"/>
      <c r="G3" s="107"/>
      <c r="H3" s="107"/>
      <c r="I3" s="107"/>
      <c r="J3" s="107"/>
      <c r="K3" s="107"/>
      <c r="L3" s="107"/>
      <c r="M3" s="113"/>
      <c r="N3" s="6"/>
    </row>
    <row r="4" spans="1:14" ht="12.75">
      <c r="A4" s="114" t="s">
        <v>2</v>
      </c>
      <c r="B4" s="107"/>
      <c r="C4" s="115" t="s">
        <v>183</v>
      </c>
      <c r="D4" s="107"/>
      <c r="E4" s="117" t="s">
        <v>387</v>
      </c>
      <c r="F4" s="107"/>
      <c r="G4" s="117" t="s">
        <v>390</v>
      </c>
      <c r="H4" s="107"/>
      <c r="I4" s="115" t="s">
        <v>405</v>
      </c>
      <c r="J4" s="117" t="s">
        <v>411</v>
      </c>
      <c r="K4" s="107"/>
      <c r="L4" s="107"/>
      <c r="M4" s="113"/>
      <c r="N4" s="6"/>
    </row>
    <row r="5" spans="1:14" ht="12.75">
      <c r="A5" s="106"/>
      <c r="B5" s="107"/>
      <c r="C5" s="107"/>
      <c r="D5" s="107"/>
      <c r="E5" s="107"/>
      <c r="F5" s="107"/>
      <c r="G5" s="107"/>
      <c r="H5" s="107"/>
      <c r="I5" s="107"/>
      <c r="J5" s="107"/>
      <c r="K5" s="107"/>
      <c r="L5" s="107"/>
      <c r="M5" s="113"/>
      <c r="N5" s="6"/>
    </row>
    <row r="6" spans="1:14" ht="12.75">
      <c r="A6" s="114" t="s">
        <v>3</v>
      </c>
      <c r="B6" s="107"/>
      <c r="C6" s="115" t="s">
        <v>184</v>
      </c>
      <c r="D6" s="107"/>
      <c r="E6" s="117" t="s">
        <v>388</v>
      </c>
      <c r="F6" s="107"/>
      <c r="G6" s="117" t="s">
        <v>391</v>
      </c>
      <c r="H6" s="107"/>
      <c r="I6" s="115" t="s">
        <v>406</v>
      </c>
      <c r="J6" s="117" t="s">
        <v>411</v>
      </c>
      <c r="K6" s="107"/>
      <c r="L6" s="107"/>
      <c r="M6" s="113"/>
      <c r="N6" s="6"/>
    </row>
    <row r="7" spans="1:14" ht="12.75">
      <c r="A7" s="106"/>
      <c r="B7" s="107"/>
      <c r="C7" s="107"/>
      <c r="D7" s="107"/>
      <c r="E7" s="107"/>
      <c r="F7" s="107"/>
      <c r="G7" s="107"/>
      <c r="H7" s="107"/>
      <c r="I7" s="107"/>
      <c r="J7" s="107"/>
      <c r="K7" s="107"/>
      <c r="L7" s="107"/>
      <c r="M7" s="113"/>
      <c r="N7" s="6"/>
    </row>
    <row r="8" spans="1:14" ht="12.75">
      <c r="A8" s="114" t="s">
        <v>4</v>
      </c>
      <c r="B8" s="107"/>
      <c r="C8" s="115" t="s">
        <v>6</v>
      </c>
      <c r="D8" s="107"/>
      <c r="E8" s="117" t="s">
        <v>389</v>
      </c>
      <c r="F8" s="107"/>
      <c r="G8" s="117" t="s">
        <v>392</v>
      </c>
      <c r="H8" s="107"/>
      <c r="I8" s="115" t="s">
        <v>407</v>
      </c>
      <c r="J8" s="115" t="s">
        <v>412</v>
      </c>
      <c r="K8" s="107"/>
      <c r="L8" s="107"/>
      <c r="M8" s="113"/>
      <c r="N8" s="6"/>
    </row>
    <row r="9" spans="1:14" ht="12.75">
      <c r="A9" s="145"/>
      <c r="B9" s="146"/>
      <c r="C9" s="146"/>
      <c r="D9" s="146"/>
      <c r="E9" s="146"/>
      <c r="F9" s="146"/>
      <c r="G9" s="146"/>
      <c r="H9" s="146"/>
      <c r="I9" s="146"/>
      <c r="J9" s="146"/>
      <c r="K9" s="146"/>
      <c r="L9" s="146"/>
      <c r="M9" s="147"/>
      <c r="N9" s="6"/>
    </row>
    <row r="10" spans="1:64" ht="12.75">
      <c r="A10" s="1" t="s">
        <v>5</v>
      </c>
      <c r="B10" s="11" t="s">
        <v>85</v>
      </c>
      <c r="C10" s="148" t="s">
        <v>185</v>
      </c>
      <c r="D10" s="149"/>
      <c r="E10" s="149"/>
      <c r="F10" s="150"/>
      <c r="G10" s="11" t="s">
        <v>393</v>
      </c>
      <c r="H10" s="22" t="s">
        <v>403</v>
      </c>
      <c r="I10" s="25" t="s">
        <v>408</v>
      </c>
      <c r="J10" s="151" t="s">
        <v>413</v>
      </c>
      <c r="K10" s="152"/>
      <c r="L10" s="153"/>
      <c r="M10" s="30" t="s">
        <v>418</v>
      </c>
      <c r="N10" s="36"/>
      <c r="BK10" s="37" t="s">
        <v>475</v>
      </c>
      <c r="BL10" s="42" t="s">
        <v>478</v>
      </c>
    </row>
    <row r="11" spans="1:62" ht="12.75">
      <c r="A11" s="2" t="s">
        <v>6</v>
      </c>
      <c r="B11" s="12" t="s">
        <v>6</v>
      </c>
      <c r="C11" s="154" t="s">
        <v>186</v>
      </c>
      <c r="D11" s="155"/>
      <c r="E11" s="155"/>
      <c r="F11" s="156"/>
      <c r="G11" s="12" t="s">
        <v>6</v>
      </c>
      <c r="H11" s="12" t="s">
        <v>6</v>
      </c>
      <c r="I11" s="26" t="s">
        <v>409</v>
      </c>
      <c r="J11" s="27" t="s">
        <v>414</v>
      </c>
      <c r="K11" s="28" t="s">
        <v>416</v>
      </c>
      <c r="L11" s="29" t="s">
        <v>417</v>
      </c>
      <c r="M11" s="31" t="s">
        <v>419</v>
      </c>
      <c r="N11" s="36"/>
      <c r="Z11" s="37" t="s">
        <v>421</v>
      </c>
      <c r="AA11" s="37" t="s">
        <v>422</v>
      </c>
      <c r="AB11" s="37" t="s">
        <v>423</v>
      </c>
      <c r="AC11" s="37" t="s">
        <v>424</v>
      </c>
      <c r="AD11" s="37" t="s">
        <v>425</v>
      </c>
      <c r="AE11" s="37" t="s">
        <v>426</v>
      </c>
      <c r="AF11" s="37" t="s">
        <v>427</v>
      </c>
      <c r="AG11" s="37" t="s">
        <v>428</v>
      </c>
      <c r="AH11" s="37" t="s">
        <v>429</v>
      </c>
      <c r="BH11" s="37" t="s">
        <v>472</v>
      </c>
      <c r="BI11" s="37" t="s">
        <v>473</v>
      </c>
      <c r="BJ11" s="37" t="s">
        <v>474</v>
      </c>
    </row>
    <row r="12" spans="1:14" ht="12.75">
      <c r="A12" s="3"/>
      <c r="B12" s="13"/>
      <c r="C12" s="157" t="s">
        <v>187</v>
      </c>
      <c r="D12" s="158"/>
      <c r="E12" s="158"/>
      <c r="F12" s="158"/>
      <c r="G12" s="20" t="s">
        <v>6</v>
      </c>
      <c r="H12" s="20" t="s">
        <v>6</v>
      </c>
      <c r="I12" s="20" t="s">
        <v>6</v>
      </c>
      <c r="J12" s="43">
        <f>J13+J17+J24+J28+J40+J50+J82+J85+J90+J92+J99+J120+J124+J128+J135+J140+J143+J160+J168+J174+J176+J179+J188+J210+J219+J222+J225</f>
        <v>0</v>
      </c>
      <c r="K12" s="43">
        <f>K13+K17+K24+K28+K40+K50+K82+K85+K90+K92+K99+K120+K124+K128+K135+K140+K143+K160+K168+K174+K176+K179+K188+K210+K219+K222+K225</f>
        <v>0</v>
      </c>
      <c r="L12" s="43">
        <f>L13+L17+L24+L28+L40+L50+L82+L85+L90+L92+L99+L120+L124+L128+L135+L140+L143+L160+L168+L174+L176+L179+L188+L210+L219+L222+L225</f>
        <v>0</v>
      </c>
      <c r="M12" s="32"/>
      <c r="N12" s="6"/>
    </row>
    <row r="13" spans="1:47" ht="12.75">
      <c r="A13" s="4"/>
      <c r="B13" s="14" t="s">
        <v>27</v>
      </c>
      <c r="C13" s="159" t="s">
        <v>188</v>
      </c>
      <c r="D13" s="160"/>
      <c r="E13" s="160"/>
      <c r="F13" s="160"/>
      <c r="G13" s="21" t="s">
        <v>6</v>
      </c>
      <c r="H13" s="21" t="s">
        <v>6</v>
      </c>
      <c r="I13" s="21" t="s">
        <v>6</v>
      </c>
      <c r="J13" s="44">
        <f>SUM(J14:J14)</f>
        <v>0</v>
      </c>
      <c r="K13" s="44">
        <f>SUM(K14:K14)</f>
        <v>0</v>
      </c>
      <c r="L13" s="44">
        <f>SUM(L14:L14)</f>
        <v>0</v>
      </c>
      <c r="M13" s="33"/>
      <c r="N13" s="6"/>
      <c r="AI13" s="37"/>
      <c r="AS13" s="44">
        <f>SUM(AJ14:AJ14)</f>
        <v>0</v>
      </c>
      <c r="AT13" s="44">
        <f>SUM(AK14:AK14)</f>
        <v>0</v>
      </c>
      <c r="AU13" s="44">
        <f>SUM(AL14:AL14)</f>
        <v>0</v>
      </c>
    </row>
    <row r="14" spans="1:64" ht="12.75">
      <c r="A14" s="5" t="s">
        <v>7</v>
      </c>
      <c r="B14" s="15" t="s">
        <v>86</v>
      </c>
      <c r="C14" s="161" t="s">
        <v>189</v>
      </c>
      <c r="D14" s="162"/>
      <c r="E14" s="162"/>
      <c r="F14" s="162"/>
      <c r="G14" s="15" t="s">
        <v>394</v>
      </c>
      <c r="H14" s="23">
        <v>5</v>
      </c>
      <c r="I14" s="23">
        <v>0</v>
      </c>
      <c r="J14" s="23">
        <f>H14*AO14</f>
        <v>0</v>
      </c>
      <c r="K14" s="23">
        <f>H14*AP14</f>
        <v>0</v>
      </c>
      <c r="L14" s="23">
        <f>H14*I14</f>
        <v>0</v>
      </c>
      <c r="M14" s="34" t="s">
        <v>420</v>
      </c>
      <c r="N14" s="6"/>
      <c r="Z14" s="38">
        <f>IF(AQ14="5",BJ14,0)</f>
        <v>0</v>
      </c>
      <c r="AB14" s="38">
        <f>IF(AQ14="1",BH14,0)</f>
        <v>0</v>
      </c>
      <c r="AC14" s="38">
        <f>IF(AQ14="1",BI14,0)</f>
        <v>0</v>
      </c>
      <c r="AD14" s="38">
        <f>IF(AQ14="7",BH14,0)</f>
        <v>0</v>
      </c>
      <c r="AE14" s="38">
        <f>IF(AQ14="7",BI14,0)</f>
        <v>0</v>
      </c>
      <c r="AF14" s="38">
        <f>IF(AQ14="2",BH14,0)</f>
        <v>0</v>
      </c>
      <c r="AG14" s="38">
        <f>IF(AQ14="2",BI14,0)</f>
        <v>0</v>
      </c>
      <c r="AH14" s="38">
        <f>IF(AQ14="0",BJ14,0)</f>
        <v>0</v>
      </c>
      <c r="AI14" s="37"/>
      <c r="AJ14" s="23">
        <f>IF(AN14=0,L14,0)</f>
        <v>0</v>
      </c>
      <c r="AK14" s="23">
        <f>IF(AN14=15,L14,0)</f>
        <v>0</v>
      </c>
      <c r="AL14" s="23">
        <f>IF(AN14=21,L14,0)</f>
        <v>0</v>
      </c>
      <c r="AN14" s="38">
        <v>21</v>
      </c>
      <c r="AO14" s="38">
        <f>I14*0</f>
        <v>0</v>
      </c>
      <c r="AP14" s="38">
        <f>I14*(1-0)</f>
        <v>0</v>
      </c>
      <c r="AQ14" s="39" t="s">
        <v>7</v>
      </c>
      <c r="AV14" s="38">
        <f>AW14+AX14</f>
        <v>0</v>
      </c>
      <c r="AW14" s="38">
        <f>H14*AO14</f>
        <v>0</v>
      </c>
      <c r="AX14" s="38">
        <f>H14*AP14</f>
        <v>0</v>
      </c>
      <c r="AY14" s="41" t="s">
        <v>432</v>
      </c>
      <c r="AZ14" s="41" t="s">
        <v>459</v>
      </c>
      <c r="BA14" s="37" t="s">
        <v>471</v>
      </c>
      <c r="BC14" s="38">
        <f>AW14+AX14</f>
        <v>0</v>
      </c>
      <c r="BD14" s="38">
        <f>I14/(100-BE14)*100</f>
        <v>0</v>
      </c>
      <c r="BE14" s="38">
        <v>0</v>
      </c>
      <c r="BF14" s="38">
        <f>14</f>
        <v>14</v>
      </c>
      <c r="BH14" s="23">
        <f>H14*AO14</f>
        <v>0</v>
      </c>
      <c r="BI14" s="23">
        <f>H14*AP14</f>
        <v>0</v>
      </c>
      <c r="BJ14" s="23">
        <f>H14*I14</f>
        <v>0</v>
      </c>
      <c r="BK14" s="23" t="s">
        <v>476</v>
      </c>
      <c r="BL14" s="38">
        <v>21</v>
      </c>
    </row>
    <row r="15" spans="1:14" ht="12.75">
      <c r="A15" s="6"/>
      <c r="B15" s="16" t="s">
        <v>87</v>
      </c>
      <c r="C15" s="163" t="s">
        <v>190</v>
      </c>
      <c r="D15" s="164"/>
      <c r="E15" s="164"/>
      <c r="F15" s="164"/>
      <c r="G15" s="164"/>
      <c r="H15" s="164"/>
      <c r="I15" s="164"/>
      <c r="J15" s="164"/>
      <c r="K15" s="164"/>
      <c r="L15" s="164"/>
      <c r="M15" s="165"/>
      <c r="N15" s="6"/>
    </row>
    <row r="16" spans="1:14" ht="12.75">
      <c r="A16" s="6"/>
      <c r="B16" s="17" t="s">
        <v>84</v>
      </c>
      <c r="C16" s="166" t="s">
        <v>191</v>
      </c>
      <c r="D16" s="167"/>
      <c r="E16" s="167"/>
      <c r="F16" s="167"/>
      <c r="G16" s="167"/>
      <c r="H16" s="167"/>
      <c r="I16" s="167"/>
      <c r="J16" s="167"/>
      <c r="K16" s="167"/>
      <c r="L16" s="167"/>
      <c r="M16" s="168"/>
      <c r="N16" s="6"/>
    </row>
    <row r="17" spans="1:47" ht="12.75">
      <c r="A17" s="4"/>
      <c r="B17" s="14" t="s">
        <v>37</v>
      </c>
      <c r="C17" s="159" t="s">
        <v>192</v>
      </c>
      <c r="D17" s="160"/>
      <c r="E17" s="160"/>
      <c r="F17" s="160"/>
      <c r="G17" s="21" t="s">
        <v>6</v>
      </c>
      <c r="H17" s="21" t="s">
        <v>6</v>
      </c>
      <c r="I17" s="21" t="s">
        <v>6</v>
      </c>
      <c r="J17" s="44">
        <f>SUM(J18:J21)</f>
        <v>0</v>
      </c>
      <c r="K17" s="44">
        <f>SUM(K18:K21)</f>
        <v>0</v>
      </c>
      <c r="L17" s="44">
        <f>SUM(L18:L21)</f>
        <v>0</v>
      </c>
      <c r="M17" s="33"/>
      <c r="N17" s="6"/>
      <c r="AI17" s="37"/>
      <c r="AS17" s="44">
        <f>SUM(AJ18:AJ21)</f>
        <v>0</v>
      </c>
      <c r="AT17" s="44">
        <f>SUM(AK18:AK21)</f>
        <v>0</v>
      </c>
      <c r="AU17" s="44">
        <f>SUM(AL18:AL21)</f>
        <v>0</v>
      </c>
    </row>
    <row r="18" spans="1:64" ht="12.75">
      <c r="A18" s="5" t="s">
        <v>8</v>
      </c>
      <c r="B18" s="15" t="s">
        <v>88</v>
      </c>
      <c r="C18" s="161" t="s">
        <v>193</v>
      </c>
      <c r="D18" s="162"/>
      <c r="E18" s="162"/>
      <c r="F18" s="162"/>
      <c r="G18" s="15" t="s">
        <v>394</v>
      </c>
      <c r="H18" s="23">
        <v>30.26667</v>
      </c>
      <c r="I18" s="23">
        <v>0</v>
      </c>
      <c r="J18" s="23">
        <f>H18*AO18</f>
        <v>0</v>
      </c>
      <c r="K18" s="23">
        <f>H18*AP18</f>
        <v>0</v>
      </c>
      <c r="L18" s="23">
        <f>H18*I18</f>
        <v>0</v>
      </c>
      <c r="M18" s="34" t="s">
        <v>420</v>
      </c>
      <c r="N18" s="6"/>
      <c r="Z18" s="38">
        <f>IF(AQ18="5",BJ18,0)</f>
        <v>0</v>
      </c>
      <c r="AB18" s="38">
        <f>IF(AQ18="1",BH18,0)</f>
        <v>0</v>
      </c>
      <c r="AC18" s="38">
        <f>IF(AQ18="1",BI18,0)</f>
        <v>0</v>
      </c>
      <c r="AD18" s="38">
        <f>IF(AQ18="7",BH18,0)</f>
        <v>0</v>
      </c>
      <c r="AE18" s="38">
        <f>IF(AQ18="7",BI18,0)</f>
        <v>0</v>
      </c>
      <c r="AF18" s="38">
        <f>IF(AQ18="2",BH18,0)</f>
        <v>0</v>
      </c>
      <c r="AG18" s="38">
        <f>IF(AQ18="2",BI18,0)</f>
        <v>0</v>
      </c>
      <c r="AH18" s="38">
        <f>IF(AQ18="0",BJ18,0)</f>
        <v>0</v>
      </c>
      <c r="AI18" s="37"/>
      <c r="AJ18" s="23">
        <f>IF(AN18=0,L18,0)</f>
        <v>0</v>
      </c>
      <c r="AK18" s="23">
        <f>IF(AN18=15,L18,0)</f>
        <v>0</v>
      </c>
      <c r="AL18" s="23">
        <f>IF(AN18=21,L18,0)</f>
        <v>0</v>
      </c>
      <c r="AN18" s="38">
        <v>21</v>
      </c>
      <c r="AO18" s="38">
        <f>I18*0.313473106064837</f>
        <v>0</v>
      </c>
      <c r="AP18" s="38">
        <f>I18*(1-0.313473106064837)</f>
        <v>0</v>
      </c>
      <c r="AQ18" s="39" t="s">
        <v>7</v>
      </c>
      <c r="AV18" s="38">
        <f>AW18+AX18</f>
        <v>0</v>
      </c>
      <c r="AW18" s="38">
        <f>H18*AO18</f>
        <v>0</v>
      </c>
      <c r="AX18" s="38">
        <f>H18*AP18</f>
        <v>0</v>
      </c>
      <c r="AY18" s="41" t="s">
        <v>433</v>
      </c>
      <c r="AZ18" s="41" t="s">
        <v>460</v>
      </c>
      <c r="BA18" s="37" t="s">
        <v>471</v>
      </c>
      <c r="BC18" s="38">
        <f>AW18+AX18</f>
        <v>0</v>
      </c>
      <c r="BD18" s="38">
        <f>I18/(100-BE18)*100</f>
        <v>0</v>
      </c>
      <c r="BE18" s="38">
        <v>0</v>
      </c>
      <c r="BF18" s="38">
        <f>18</f>
        <v>18</v>
      </c>
      <c r="BH18" s="23">
        <f>H18*AO18</f>
        <v>0</v>
      </c>
      <c r="BI18" s="23">
        <f>H18*AP18</f>
        <v>0</v>
      </c>
      <c r="BJ18" s="23">
        <f>H18*I18</f>
        <v>0</v>
      </c>
      <c r="BK18" s="23" t="s">
        <v>476</v>
      </c>
      <c r="BL18" s="38">
        <v>31</v>
      </c>
    </row>
    <row r="19" spans="1:14" ht="25.5" customHeight="1">
      <c r="A19" s="6"/>
      <c r="B19" s="16" t="s">
        <v>87</v>
      </c>
      <c r="C19" s="163" t="s">
        <v>194</v>
      </c>
      <c r="D19" s="164"/>
      <c r="E19" s="164"/>
      <c r="F19" s="164"/>
      <c r="G19" s="164"/>
      <c r="H19" s="164"/>
      <c r="I19" s="164"/>
      <c r="J19" s="164"/>
      <c r="K19" s="164"/>
      <c r="L19" s="164"/>
      <c r="M19" s="165"/>
      <c r="N19" s="6"/>
    </row>
    <row r="20" spans="1:14" ht="25.5" customHeight="1">
      <c r="A20" s="6"/>
      <c r="B20" s="17" t="s">
        <v>84</v>
      </c>
      <c r="C20" s="166" t="s">
        <v>195</v>
      </c>
      <c r="D20" s="167"/>
      <c r="E20" s="167"/>
      <c r="F20" s="167"/>
      <c r="G20" s="167"/>
      <c r="H20" s="167"/>
      <c r="I20" s="167"/>
      <c r="J20" s="167"/>
      <c r="K20" s="167"/>
      <c r="L20" s="167"/>
      <c r="M20" s="168"/>
      <c r="N20" s="6"/>
    </row>
    <row r="21" spans="1:64" ht="12.75">
      <c r="A21" s="5" t="s">
        <v>9</v>
      </c>
      <c r="B21" s="15" t="s">
        <v>89</v>
      </c>
      <c r="C21" s="161" t="s">
        <v>196</v>
      </c>
      <c r="D21" s="162"/>
      <c r="E21" s="162"/>
      <c r="F21" s="162"/>
      <c r="G21" s="15" t="s">
        <v>395</v>
      </c>
      <c r="H21" s="23">
        <v>13.8788</v>
      </c>
      <c r="I21" s="23">
        <v>0</v>
      </c>
      <c r="J21" s="23">
        <f>H21*AO21</f>
        <v>0</v>
      </c>
      <c r="K21" s="23">
        <f>H21*AP21</f>
        <v>0</v>
      </c>
      <c r="L21" s="23">
        <f>H21*I21</f>
        <v>0</v>
      </c>
      <c r="M21" s="34" t="s">
        <v>420</v>
      </c>
      <c r="N21" s="6"/>
      <c r="Z21" s="38">
        <f>IF(AQ21="5",BJ21,0)</f>
        <v>0</v>
      </c>
      <c r="AB21" s="38">
        <f>IF(AQ21="1",BH21,0)</f>
        <v>0</v>
      </c>
      <c r="AC21" s="38">
        <f>IF(AQ21="1",BI21,0)</f>
        <v>0</v>
      </c>
      <c r="AD21" s="38">
        <f>IF(AQ21="7",BH21,0)</f>
        <v>0</v>
      </c>
      <c r="AE21" s="38">
        <f>IF(AQ21="7",BI21,0)</f>
        <v>0</v>
      </c>
      <c r="AF21" s="38">
        <f>IF(AQ21="2",BH21,0)</f>
        <v>0</v>
      </c>
      <c r="AG21" s="38">
        <f>IF(AQ21="2",BI21,0)</f>
        <v>0</v>
      </c>
      <c r="AH21" s="38">
        <f>IF(AQ21="0",BJ21,0)</f>
        <v>0</v>
      </c>
      <c r="AI21" s="37"/>
      <c r="AJ21" s="23">
        <f>IF(AN21=0,L21,0)</f>
        <v>0</v>
      </c>
      <c r="AK21" s="23">
        <f>IF(AN21=15,L21,0)</f>
        <v>0</v>
      </c>
      <c r="AL21" s="23">
        <f>IF(AN21=21,L21,0)</f>
        <v>0</v>
      </c>
      <c r="AN21" s="38">
        <v>21</v>
      </c>
      <c r="AO21" s="38">
        <f>I21*0.681387599416682</f>
        <v>0</v>
      </c>
      <c r="AP21" s="38">
        <f>I21*(1-0.681387599416682)</f>
        <v>0</v>
      </c>
      <c r="AQ21" s="39" t="s">
        <v>7</v>
      </c>
      <c r="AV21" s="38">
        <f>AW21+AX21</f>
        <v>0</v>
      </c>
      <c r="AW21" s="38">
        <f>H21*AO21</f>
        <v>0</v>
      </c>
      <c r="AX21" s="38">
        <f>H21*AP21</f>
        <v>0</v>
      </c>
      <c r="AY21" s="41" t="s">
        <v>433</v>
      </c>
      <c r="AZ21" s="41" t="s">
        <v>460</v>
      </c>
      <c r="BA21" s="37" t="s">
        <v>471</v>
      </c>
      <c r="BC21" s="38">
        <f>AW21+AX21</f>
        <v>0</v>
      </c>
      <c r="BD21" s="38">
        <f>I21/(100-BE21)*100</f>
        <v>0</v>
      </c>
      <c r="BE21" s="38">
        <v>0</v>
      </c>
      <c r="BF21" s="38">
        <f>21</f>
        <v>21</v>
      </c>
      <c r="BH21" s="23">
        <f>H21*AO21</f>
        <v>0</v>
      </c>
      <c r="BI21" s="23">
        <f>H21*AP21</f>
        <v>0</v>
      </c>
      <c r="BJ21" s="23">
        <f>H21*I21</f>
        <v>0</v>
      </c>
      <c r="BK21" s="23" t="s">
        <v>476</v>
      </c>
      <c r="BL21" s="38">
        <v>31</v>
      </c>
    </row>
    <row r="22" spans="1:14" ht="25.5" customHeight="1">
      <c r="A22" s="6"/>
      <c r="B22" s="16" t="s">
        <v>90</v>
      </c>
      <c r="C22" s="169" t="s">
        <v>197</v>
      </c>
      <c r="D22" s="170"/>
      <c r="E22" s="170"/>
      <c r="F22" s="170"/>
      <c r="G22" s="170"/>
      <c r="H22" s="170"/>
      <c r="I22" s="170"/>
      <c r="J22" s="170"/>
      <c r="K22" s="170"/>
      <c r="L22" s="170"/>
      <c r="M22" s="171"/>
      <c r="N22" s="6"/>
    </row>
    <row r="23" spans="1:14" ht="25.5" customHeight="1">
      <c r="A23" s="6"/>
      <c r="B23" s="17" t="s">
        <v>84</v>
      </c>
      <c r="C23" s="166" t="s">
        <v>198</v>
      </c>
      <c r="D23" s="167"/>
      <c r="E23" s="167"/>
      <c r="F23" s="167"/>
      <c r="G23" s="167"/>
      <c r="H23" s="167"/>
      <c r="I23" s="167"/>
      <c r="J23" s="167"/>
      <c r="K23" s="167"/>
      <c r="L23" s="167"/>
      <c r="M23" s="168"/>
      <c r="N23" s="6"/>
    </row>
    <row r="24" spans="1:47" ht="12.75">
      <c r="A24" s="4"/>
      <c r="B24" s="14" t="s">
        <v>51</v>
      </c>
      <c r="C24" s="159" t="s">
        <v>199</v>
      </c>
      <c r="D24" s="160"/>
      <c r="E24" s="160"/>
      <c r="F24" s="160"/>
      <c r="G24" s="21" t="s">
        <v>6</v>
      </c>
      <c r="H24" s="21" t="s">
        <v>6</v>
      </c>
      <c r="I24" s="21" t="s">
        <v>6</v>
      </c>
      <c r="J24" s="44">
        <f>SUM(J25:J25)</f>
        <v>0</v>
      </c>
      <c r="K24" s="44">
        <f>SUM(K25:K25)</f>
        <v>0</v>
      </c>
      <c r="L24" s="44">
        <f>SUM(L25:L25)</f>
        <v>0</v>
      </c>
      <c r="M24" s="33"/>
      <c r="N24" s="6"/>
      <c r="AI24" s="37"/>
      <c r="AS24" s="44">
        <f>SUM(AJ25:AJ25)</f>
        <v>0</v>
      </c>
      <c r="AT24" s="44">
        <f>SUM(AK25:AK25)</f>
        <v>0</v>
      </c>
      <c r="AU24" s="44">
        <f>SUM(AL25:AL25)</f>
        <v>0</v>
      </c>
    </row>
    <row r="25" spans="1:64" ht="12.75">
      <c r="A25" s="5" t="s">
        <v>10</v>
      </c>
      <c r="B25" s="15" t="s">
        <v>91</v>
      </c>
      <c r="C25" s="161" t="s">
        <v>200</v>
      </c>
      <c r="D25" s="162"/>
      <c r="E25" s="162"/>
      <c r="F25" s="162"/>
      <c r="G25" s="15" t="s">
        <v>395</v>
      </c>
      <c r="H25" s="23">
        <v>5.1805</v>
      </c>
      <c r="I25" s="23">
        <v>0</v>
      </c>
      <c r="J25" s="23">
        <f>H25*AO25</f>
        <v>0</v>
      </c>
      <c r="K25" s="23">
        <f>H25*AP25</f>
        <v>0</v>
      </c>
      <c r="L25" s="23">
        <f>H25*I25</f>
        <v>0</v>
      </c>
      <c r="M25" s="34" t="s">
        <v>420</v>
      </c>
      <c r="N25" s="6"/>
      <c r="Z25" s="38">
        <f>IF(AQ25="5",BJ25,0)</f>
        <v>0</v>
      </c>
      <c r="AB25" s="38">
        <f>IF(AQ25="1",BH25,0)</f>
        <v>0</v>
      </c>
      <c r="AC25" s="38">
        <f>IF(AQ25="1",BI25,0)</f>
        <v>0</v>
      </c>
      <c r="AD25" s="38">
        <f>IF(AQ25="7",BH25,0)</f>
        <v>0</v>
      </c>
      <c r="AE25" s="38">
        <f>IF(AQ25="7",BI25,0)</f>
        <v>0</v>
      </c>
      <c r="AF25" s="38">
        <f>IF(AQ25="2",BH25,0)</f>
        <v>0</v>
      </c>
      <c r="AG25" s="38">
        <f>IF(AQ25="2",BI25,0)</f>
        <v>0</v>
      </c>
      <c r="AH25" s="38">
        <f>IF(AQ25="0",BJ25,0)</f>
        <v>0</v>
      </c>
      <c r="AI25" s="37"/>
      <c r="AJ25" s="23">
        <f>IF(AN25=0,L25,0)</f>
        <v>0</v>
      </c>
      <c r="AK25" s="23">
        <f>IF(AN25=15,L25,0)</f>
        <v>0</v>
      </c>
      <c r="AL25" s="23">
        <f>IF(AN25=21,L25,0)</f>
        <v>0</v>
      </c>
      <c r="AN25" s="38">
        <v>21</v>
      </c>
      <c r="AO25" s="38">
        <f>I25*0.636114864118618</f>
        <v>0</v>
      </c>
      <c r="AP25" s="38">
        <f>I25*(1-0.636114864118618)</f>
        <v>0</v>
      </c>
      <c r="AQ25" s="39" t="s">
        <v>7</v>
      </c>
      <c r="AV25" s="38">
        <f>AW25+AX25</f>
        <v>0</v>
      </c>
      <c r="AW25" s="38">
        <f>H25*AO25</f>
        <v>0</v>
      </c>
      <c r="AX25" s="38">
        <f>H25*AP25</f>
        <v>0</v>
      </c>
      <c r="AY25" s="41" t="s">
        <v>434</v>
      </c>
      <c r="AZ25" s="41" t="s">
        <v>461</v>
      </c>
      <c r="BA25" s="37" t="s">
        <v>471</v>
      </c>
      <c r="BC25" s="38">
        <f>AW25+AX25</f>
        <v>0</v>
      </c>
      <c r="BD25" s="38">
        <f>I25/(100-BE25)*100</f>
        <v>0</v>
      </c>
      <c r="BE25" s="38">
        <v>0</v>
      </c>
      <c r="BF25" s="38">
        <f>25</f>
        <v>25</v>
      </c>
      <c r="BH25" s="23">
        <f>H25*AO25</f>
        <v>0</v>
      </c>
      <c r="BI25" s="23">
        <f>H25*AP25</f>
        <v>0</v>
      </c>
      <c r="BJ25" s="23">
        <f>H25*I25</f>
        <v>0</v>
      </c>
      <c r="BK25" s="23" t="s">
        <v>476</v>
      </c>
      <c r="BL25" s="38">
        <v>45</v>
      </c>
    </row>
    <row r="26" spans="1:14" ht="12.75">
      <c r="A26" s="6"/>
      <c r="B26" s="16" t="s">
        <v>90</v>
      </c>
      <c r="C26" s="169" t="s">
        <v>201</v>
      </c>
      <c r="D26" s="170"/>
      <c r="E26" s="170"/>
      <c r="F26" s="170"/>
      <c r="G26" s="170"/>
      <c r="H26" s="170"/>
      <c r="I26" s="170"/>
      <c r="J26" s="170"/>
      <c r="K26" s="170"/>
      <c r="L26" s="170"/>
      <c r="M26" s="171"/>
      <c r="N26" s="6"/>
    </row>
    <row r="27" spans="1:14" ht="25.5" customHeight="1">
      <c r="A27" s="6"/>
      <c r="B27" s="17" t="s">
        <v>84</v>
      </c>
      <c r="C27" s="166" t="s">
        <v>202</v>
      </c>
      <c r="D27" s="167"/>
      <c r="E27" s="167"/>
      <c r="F27" s="167"/>
      <c r="G27" s="167"/>
      <c r="H27" s="167"/>
      <c r="I27" s="167"/>
      <c r="J27" s="167"/>
      <c r="K27" s="167"/>
      <c r="L27" s="167"/>
      <c r="M27" s="168"/>
      <c r="N27" s="6"/>
    </row>
    <row r="28" spans="1:47" ht="12.75">
      <c r="A28" s="4"/>
      <c r="B28" s="14" t="s">
        <v>66</v>
      </c>
      <c r="C28" s="159" t="s">
        <v>203</v>
      </c>
      <c r="D28" s="160"/>
      <c r="E28" s="160"/>
      <c r="F28" s="160"/>
      <c r="G28" s="21" t="s">
        <v>6</v>
      </c>
      <c r="H28" s="21" t="s">
        <v>6</v>
      </c>
      <c r="I28" s="21" t="s">
        <v>6</v>
      </c>
      <c r="J28" s="44">
        <f>SUM(J29:J37)</f>
        <v>0</v>
      </c>
      <c r="K28" s="44">
        <f>SUM(K29:K37)</f>
        <v>0</v>
      </c>
      <c r="L28" s="44">
        <f>SUM(L29:L37)</f>
        <v>0</v>
      </c>
      <c r="M28" s="33"/>
      <c r="N28" s="6"/>
      <c r="AI28" s="37"/>
      <c r="AS28" s="44">
        <f>SUM(AJ29:AJ37)</f>
        <v>0</v>
      </c>
      <c r="AT28" s="44">
        <f>SUM(AK29:AK37)</f>
        <v>0</v>
      </c>
      <c r="AU28" s="44">
        <f>SUM(AL29:AL37)</f>
        <v>0</v>
      </c>
    </row>
    <row r="29" spans="1:64" ht="12.75">
      <c r="A29" s="5" t="s">
        <v>11</v>
      </c>
      <c r="B29" s="15" t="s">
        <v>92</v>
      </c>
      <c r="C29" s="161" t="s">
        <v>204</v>
      </c>
      <c r="D29" s="162"/>
      <c r="E29" s="162"/>
      <c r="F29" s="162"/>
      <c r="G29" s="15" t="s">
        <v>394</v>
      </c>
      <c r="H29" s="23">
        <v>978.35</v>
      </c>
      <c r="I29" s="23">
        <v>0</v>
      </c>
      <c r="J29" s="23">
        <f>H29*AO29</f>
        <v>0</v>
      </c>
      <c r="K29" s="23">
        <f>H29*AP29</f>
        <v>0</v>
      </c>
      <c r="L29" s="23">
        <f>H29*I29</f>
        <v>0</v>
      </c>
      <c r="M29" s="34" t="s">
        <v>420</v>
      </c>
      <c r="N29" s="6"/>
      <c r="Z29" s="38">
        <f>IF(AQ29="5",BJ29,0)</f>
        <v>0</v>
      </c>
      <c r="AB29" s="38">
        <f>IF(AQ29="1",BH29,0)</f>
        <v>0</v>
      </c>
      <c r="AC29" s="38">
        <f>IF(AQ29="1",BI29,0)</f>
        <v>0</v>
      </c>
      <c r="AD29" s="38">
        <f>IF(AQ29="7",BH29,0)</f>
        <v>0</v>
      </c>
      <c r="AE29" s="38">
        <f>IF(AQ29="7",BI29,0)</f>
        <v>0</v>
      </c>
      <c r="AF29" s="38">
        <f>IF(AQ29="2",BH29,0)</f>
        <v>0</v>
      </c>
      <c r="AG29" s="38">
        <f>IF(AQ29="2",BI29,0)</f>
        <v>0</v>
      </c>
      <c r="AH29" s="38">
        <f>IF(AQ29="0",BJ29,0)</f>
        <v>0</v>
      </c>
      <c r="AI29" s="37"/>
      <c r="AJ29" s="23">
        <f>IF(AN29=0,L29,0)</f>
        <v>0</v>
      </c>
      <c r="AK29" s="23">
        <f>IF(AN29=15,L29,0)</f>
        <v>0</v>
      </c>
      <c r="AL29" s="23">
        <f>IF(AN29=21,L29,0)</f>
        <v>0</v>
      </c>
      <c r="AN29" s="38">
        <v>21</v>
      </c>
      <c r="AO29" s="38">
        <f>I29*0.553472222222222</f>
        <v>0</v>
      </c>
      <c r="AP29" s="38">
        <f>I29*(1-0.553472222222222)</f>
        <v>0</v>
      </c>
      <c r="AQ29" s="39" t="s">
        <v>7</v>
      </c>
      <c r="AV29" s="38">
        <f>AW29+AX29</f>
        <v>0</v>
      </c>
      <c r="AW29" s="38">
        <f>H29*AO29</f>
        <v>0</v>
      </c>
      <c r="AX29" s="38">
        <f>H29*AP29</f>
        <v>0</v>
      </c>
      <c r="AY29" s="41" t="s">
        <v>435</v>
      </c>
      <c r="AZ29" s="41" t="s">
        <v>462</v>
      </c>
      <c r="BA29" s="37" t="s">
        <v>471</v>
      </c>
      <c r="BC29" s="38">
        <f>AW29+AX29</f>
        <v>0</v>
      </c>
      <c r="BD29" s="38">
        <f>I29/(100-BE29)*100</f>
        <v>0</v>
      </c>
      <c r="BE29" s="38">
        <v>0</v>
      </c>
      <c r="BF29" s="38">
        <f>29</f>
        <v>29</v>
      </c>
      <c r="BH29" s="23">
        <f>H29*AO29</f>
        <v>0</v>
      </c>
      <c r="BI29" s="23">
        <f>H29*AP29</f>
        <v>0</v>
      </c>
      <c r="BJ29" s="23">
        <f>H29*I29</f>
        <v>0</v>
      </c>
      <c r="BK29" s="23" t="s">
        <v>476</v>
      </c>
      <c r="BL29" s="38">
        <v>60</v>
      </c>
    </row>
    <row r="30" spans="1:14" ht="12.75">
      <c r="A30" s="6"/>
      <c r="B30" s="16" t="s">
        <v>90</v>
      </c>
      <c r="C30" s="169" t="s">
        <v>205</v>
      </c>
      <c r="D30" s="170"/>
      <c r="E30" s="170"/>
      <c r="F30" s="170"/>
      <c r="G30" s="170"/>
      <c r="H30" s="170"/>
      <c r="I30" s="170"/>
      <c r="J30" s="170"/>
      <c r="K30" s="170"/>
      <c r="L30" s="170"/>
      <c r="M30" s="171"/>
      <c r="N30" s="6"/>
    </row>
    <row r="31" spans="1:14" ht="25.5" customHeight="1">
      <c r="A31" s="6"/>
      <c r="B31" s="16" t="s">
        <v>87</v>
      </c>
      <c r="C31" s="163" t="s">
        <v>206</v>
      </c>
      <c r="D31" s="164"/>
      <c r="E31" s="164"/>
      <c r="F31" s="164"/>
      <c r="G31" s="164"/>
      <c r="H31" s="164"/>
      <c r="I31" s="164"/>
      <c r="J31" s="164"/>
      <c r="K31" s="164"/>
      <c r="L31" s="164"/>
      <c r="M31" s="165"/>
      <c r="N31" s="6"/>
    </row>
    <row r="32" spans="1:14" ht="12.75">
      <c r="A32" s="6"/>
      <c r="B32" s="17" t="s">
        <v>84</v>
      </c>
      <c r="C32" s="166" t="s">
        <v>207</v>
      </c>
      <c r="D32" s="167"/>
      <c r="E32" s="167"/>
      <c r="F32" s="167"/>
      <c r="G32" s="167"/>
      <c r="H32" s="167"/>
      <c r="I32" s="167"/>
      <c r="J32" s="167"/>
      <c r="K32" s="167"/>
      <c r="L32" s="167"/>
      <c r="M32" s="168"/>
      <c r="N32" s="6"/>
    </row>
    <row r="33" spans="1:64" ht="12.75">
      <c r="A33" s="5" t="s">
        <v>12</v>
      </c>
      <c r="B33" s="15" t="s">
        <v>93</v>
      </c>
      <c r="C33" s="161" t="s">
        <v>208</v>
      </c>
      <c r="D33" s="162"/>
      <c r="E33" s="162"/>
      <c r="F33" s="162"/>
      <c r="G33" s="15" t="s">
        <v>394</v>
      </c>
      <c r="H33" s="23">
        <v>250.05</v>
      </c>
      <c r="I33" s="23">
        <v>0</v>
      </c>
      <c r="J33" s="23">
        <f>H33*AO33</f>
        <v>0</v>
      </c>
      <c r="K33" s="23">
        <f>H33*AP33</f>
        <v>0</v>
      </c>
      <c r="L33" s="23">
        <f>H33*I33</f>
        <v>0</v>
      </c>
      <c r="M33" s="34" t="s">
        <v>420</v>
      </c>
      <c r="N33" s="6"/>
      <c r="Z33" s="38">
        <f>IF(AQ33="5",BJ33,0)</f>
        <v>0</v>
      </c>
      <c r="AB33" s="38">
        <f>IF(AQ33="1",BH33,0)</f>
        <v>0</v>
      </c>
      <c r="AC33" s="38">
        <f>IF(AQ33="1",BI33,0)</f>
        <v>0</v>
      </c>
      <c r="AD33" s="38">
        <f>IF(AQ33="7",BH33,0)</f>
        <v>0</v>
      </c>
      <c r="AE33" s="38">
        <f>IF(AQ33="7",BI33,0)</f>
        <v>0</v>
      </c>
      <c r="AF33" s="38">
        <f>IF(AQ33="2",BH33,0)</f>
        <v>0</v>
      </c>
      <c r="AG33" s="38">
        <f>IF(AQ33="2",BI33,0)</f>
        <v>0</v>
      </c>
      <c r="AH33" s="38">
        <f>IF(AQ33="0",BJ33,0)</f>
        <v>0</v>
      </c>
      <c r="AI33" s="37"/>
      <c r="AJ33" s="23">
        <f>IF(AN33=0,L33,0)</f>
        <v>0</v>
      </c>
      <c r="AK33" s="23">
        <f>IF(AN33=15,L33,0)</f>
        <v>0</v>
      </c>
      <c r="AL33" s="23">
        <f>IF(AN33=21,L33,0)</f>
        <v>0</v>
      </c>
      <c r="AN33" s="38">
        <v>21</v>
      </c>
      <c r="AO33" s="38">
        <f>I33*0.608615343008982</f>
        <v>0</v>
      </c>
      <c r="AP33" s="38">
        <f>I33*(1-0.608615343008982)</f>
        <v>0</v>
      </c>
      <c r="AQ33" s="39" t="s">
        <v>7</v>
      </c>
      <c r="AV33" s="38">
        <f>AW33+AX33</f>
        <v>0</v>
      </c>
      <c r="AW33" s="38">
        <f>H33*AO33</f>
        <v>0</v>
      </c>
      <c r="AX33" s="38">
        <f>H33*AP33</f>
        <v>0</v>
      </c>
      <c r="AY33" s="41" t="s">
        <v>435</v>
      </c>
      <c r="AZ33" s="41" t="s">
        <v>462</v>
      </c>
      <c r="BA33" s="37" t="s">
        <v>471</v>
      </c>
      <c r="BC33" s="38">
        <f>AW33+AX33</f>
        <v>0</v>
      </c>
      <c r="BD33" s="38">
        <f>I33/(100-BE33)*100</f>
        <v>0</v>
      </c>
      <c r="BE33" s="38">
        <v>0</v>
      </c>
      <c r="BF33" s="38">
        <f>33</f>
        <v>33</v>
      </c>
      <c r="BH33" s="23">
        <f>H33*AO33</f>
        <v>0</v>
      </c>
      <c r="BI33" s="23">
        <f>H33*AP33</f>
        <v>0</v>
      </c>
      <c r="BJ33" s="23">
        <f>H33*I33</f>
        <v>0</v>
      </c>
      <c r="BK33" s="23" t="s">
        <v>476</v>
      </c>
      <c r="BL33" s="38">
        <v>60</v>
      </c>
    </row>
    <row r="34" spans="1:14" ht="12.75">
      <c r="A34" s="6"/>
      <c r="B34" s="16" t="s">
        <v>90</v>
      </c>
      <c r="C34" s="169" t="s">
        <v>209</v>
      </c>
      <c r="D34" s="170"/>
      <c r="E34" s="170"/>
      <c r="F34" s="170"/>
      <c r="G34" s="170"/>
      <c r="H34" s="170"/>
      <c r="I34" s="170"/>
      <c r="J34" s="170"/>
      <c r="K34" s="170"/>
      <c r="L34" s="170"/>
      <c r="M34" s="171"/>
      <c r="N34" s="6"/>
    </row>
    <row r="35" spans="1:14" ht="25.5" customHeight="1">
      <c r="A35" s="6"/>
      <c r="B35" s="16" t="s">
        <v>87</v>
      </c>
      <c r="C35" s="163" t="s">
        <v>210</v>
      </c>
      <c r="D35" s="164"/>
      <c r="E35" s="164"/>
      <c r="F35" s="164"/>
      <c r="G35" s="164"/>
      <c r="H35" s="164"/>
      <c r="I35" s="164"/>
      <c r="J35" s="164"/>
      <c r="K35" s="164"/>
      <c r="L35" s="164"/>
      <c r="M35" s="165"/>
      <c r="N35" s="6"/>
    </row>
    <row r="36" spans="1:14" ht="12.75">
      <c r="A36" s="6"/>
      <c r="B36" s="17" t="s">
        <v>84</v>
      </c>
      <c r="C36" s="166" t="s">
        <v>211</v>
      </c>
      <c r="D36" s="167"/>
      <c r="E36" s="167"/>
      <c r="F36" s="167"/>
      <c r="G36" s="167"/>
      <c r="H36" s="167"/>
      <c r="I36" s="167"/>
      <c r="J36" s="167"/>
      <c r="K36" s="167"/>
      <c r="L36" s="167"/>
      <c r="M36" s="168"/>
      <c r="N36" s="6"/>
    </row>
    <row r="37" spans="1:64" ht="12.75">
      <c r="A37" s="5" t="s">
        <v>13</v>
      </c>
      <c r="B37" s="15" t="s">
        <v>94</v>
      </c>
      <c r="C37" s="161" t="s">
        <v>212</v>
      </c>
      <c r="D37" s="162"/>
      <c r="E37" s="162"/>
      <c r="F37" s="162"/>
      <c r="G37" s="15" t="s">
        <v>394</v>
      </c>
      <c r="H37" s="23">
        <v>732.08</v>
      </c>
      <c r="I37" s="23">
        <v>0</v>
      </c>
      <c r="J37" s="23">
        <f>H37*AO37</f>
        <v>0</v>
      </c>
      <c r="K37" s="23">
        <f>H37*AP37</f>
        <v>0</v>
      </c>
      <c r="L37" s="23">
        <f>H37*I37</f>
        <v>0</v>
      </c>
      <c r="M37" s="34" t="s">
        <v>420</v>
      </c>
      <c r="N37" s="6"/>
      <c r="Z37" s="38">
        <f>IF(AQ37="5",BJ37,0)</f>
        <v>0</v>
      </c>
      <c r="AB37" s="38">
        <f>IF(AQ37="1",BH37,0)</f>
        <v>0</v>
      </c>
      <c r="AC37" s="38">
        <f>IF(AQ37="1",BI37,0)</f>
        <v>0</v>
      </c>
      <c r="AD37" s="38">
        <f>IF(AQ37="7",BH37,0)</f>
        <v>0</v>
      </c>
      <c r="AE37" s="38">
        <f>IF(AQ37="7",BI37,0)</f>
        <v>0</v>
      </c>
      <c r="AF37" s="38">
        <f>IF(AQ37="2",BH37,0)</f>
        <v>0</v>
      </c>
      <c r="AG37" s="38">
        <f>IF(AQ37="2",BI37,0)</f>
        <v>0</v>
      </c>
      <c r="AH37" s="38">
        <f>IF(AQ37="0",BJ37,0)</f>
        <v>0</v>
      </c>
      <c r="AI37" s="37"/>
      <c r="AJ37" s="23">
        <f>IF(AN37=0,L37,0)</f>
        <v>0</v>
      </c>
      <c r="AK37" s="23">
        <f>IF(AN37=15,L37,0)</f>
        <v>0</v>
      </c>
      <c r="AL37" s="23">
        <f>IF(AN37=21,L37,0)</f>
        <v>0</v>
      </c>
      <c r="AN37" s="38">
        <v>21</v>
      </c>
      <c r="AO37" s="38">
        <f>I37*0.156828478964401</f>
        <v>0</v>
      </c>
      <c r="AP37" s="38">
        <f>I37*(1-0.156828478964401)</f>
        <v>0</v>
      </c>
      <c r="AQ37" s="39" t="s">
        <v>7</v>
      </c>
      <c r="AV37" s="38">
        <f>AW37+AX37</f>
        <v>0</v>
      </c>
      <c r="AW37" s="38">
        <f>H37*AO37</f>
        <v>0</v>
      </c>
      <c r="AX37" s="38">
        <f>H37*AP37</f>
        <v>0</v>
      </c>
      <c r="AY37" s="41" t="s">
        <v>435</v>
      </c>
      <c r="AZ37" s="41" t="s">
        <v>462</v>
      </c>
      <c r="BA37" s="37" t="s">
        <v>471</v>
      </c>
      <c r="BC37" s="38">
        <f>AW37+AX37</f>
        <v>0</v>
      </c>
      <c r="BD37" s="38">
        <f>I37/(100-BE37)*100</f>
        <v>0</v>
      </c>
      <c r="BE37" s="38">
        <v>0</v>
      </c>
      <c r="BF37" s="38">
        <f>37</f>
        <v>37</v>
      </c>
      <c r="BH37" s="23">
        <f>H37*AO37</f>
        <v>0</v>
      </c>
      <c r="BI37" s="23">
        <f>H37*AP37</f>
        <v>0</v>
      </c>
      <c r="BJ37" s="23">
        <f>H37*I37</f>
        <v>0</v>
      </c>
      <c r="BK37" s="23" t="s">
        <v>476</v>
      </c>
      <c r="BL37" s="38">
        <v>60</v>
      </c>
    </row>
    <row r="38" spans="1:14" ht="25.5" customHeight="1">
      <c r="A38" s="6"/>
      <c r="B38" s="16" t="s">
        <v>87</v>
      </c>
      <c r="C38" s="163" t="s">
        <v>213</v>
      </c>
      <c r="D38" s="164"/>
      <c r="E38" s="164"/>
      <c r="F38" s="164"/>
      <c r="G38" s="164"/>
      <c r="H38" s="164"/>
      <c r="I38" s="164"/>
      <c r="J38" s="164"/>
      <c r="K38" s="164"/>
      <c r="L38" s="164"/>
      <c r="M38" s="165"/>
      <c r="N38" s="6"/>
    </row>
    <row r="39" spans="1:14" ht="38.25" customHeight="1">
      <c r="A39" s="6"/>
      <c r="B39" s="17" t="s">
        <v>84</v>
      </c>
      <c r="C39" s="166" t="s">
        <v>214</v>
      </c>
      <c r="D39" s="167"/>
      <c r="E39" s="167"/>
      <c r="F39" s="167"/>
      <c r="G39" s="167"/>
      <c r="H39" s="167"/>
      <c r="I39" s="167"/>
      <c r="J39" s="167"/>
      <c r="K39" s="167"/>
      <c r="L39" s="167"/>
      <c r="M39" s="168"/>
      <c r="N39" s="6"/>
    </row>
    <row r="40" spans="1:47" ht="12.75">
      <c r="A40" s="4"/>
      <c r="B40" s="14" t="s">
        <v>67</v>
      </c>
      <c r="C40" s="159" t="s">
        <v>215</v>
      </c>
      <c r="D40" s="160"/>
      <c r="E40" s="160"/>
      <c r="F40" s="160"/>
      <c r="G40" s="21" t="s">
        <v>6</v>
      </c>
      <c r="H40" s="21" t="s">
        <v>6</v>
      </c>
      <c r="I40" s="21" t="s">
        <v>6</v>
      </c>
      <c r="J40" s="44">
        <f>SUM(J41:J48)</f>
        <v>0</v>
      </c>
      <c r="K40" s="44">
        <f>SUM(K41:K48)</f>
        <v>0</v>
      </c>
      <c r="L40" s="44">
        <f>SUM(L41:L48)</f>
        <v>0</v>
      </c>
      <c r="M40" s="33"/>
      <c r="N40" s="6"/>
      <c r="AI40" s="37"/>
      <c r="AS40" s="44">
        <f>SUM(AJ41:AJ48)</f>
        <v>0</v>
      </c>
      <c r="AT40" s="44">
        <f>SUM(AK41:AK48)</f>
        <v>0</v>
      </c>
      <c r="AU40" s="44">
        <f>SUM(AL41:AL48)</f>
        <v>0</v>
      </c>
    </row>
    <row r="41" spans="1:64" ht="12.75">
      <c r="A41" s="5" t="s">
        <v>14</v>
      </c>
      <c r="B41" s="15" t="s">
        <v>95</v>
      </c>
      <c r="C41" s="161" t="s">
        <v>216</v>
      </c>
      <c r="D41" s="162"/>
      <c r="E41" s="162"/>
      <c r="F41" s="162"/>
      <c r="G41" s="15" t="s">
        <v>394</v>
      </c>
      <c r="H41" s="23">
        <v>978.35</v>
      </c>
      <c r="I41" s="23">
        <v>0</v>
      </c>
      <c r="J41" s="23">
        <f>H41*AO41</f>
        <v>0</v>
      </c>
      <c r="K41" s="23">
        <f>H41*AP41</f>
        <v>0</v>
      </c>
      <c r="L41" s="23">
        <f>H41*I41</f>
        <v>0</v>
      </c>
      <c r="M41" s="34" t="s">
        <v>420</v>
      </c>
      <c r="N41" s="6"/>
      <c r="Z41" s="38">
        <f>IF(AQ41="5",BJ41,0)</f>
        <v>0</v>
      </c>
      <c r="AB41" s="38">
        <f>IF(AQ41="1",BH41,0)</f>
        <v>0</v>
      </c>
      <c r="AC41" s="38">
        <f>IF(AQ41="1",BI41,0)</f>
        <v>0</v>
      </c>
      <c r="AD41" s="38">
        <f>IF(AQ41="7",BH41,0)</f>
        <v>0</v>
      </c>
      <c r="AE41" s="38">
        <f>IF(AQ41="7",BI41,0)</f>
        <v>0</v>
      </c>
      <c r="AF41" s="38">
        <f>IF(AQ41="2",BH41,0)</f>
        <v>0</v>
      </c>
      <c r="AG41" s="38">
        <f>IF(AQ41="2",BI41,0)</f>
        <v>0</v>
      </c>
      <c r="AH41" s="38">
        <f>IF(AQ41="0",BJ41,0)</f>
        <v>0</v>
      </c>
      <c r="AI41" s="37"/>
      <c r="AJ41" s="23">
        <f>IF(AN41=0,L41,0)</f>
        <v>0</v>
      </c>
      <c r="AK41" s="23">
        <f>IF(AN41=15,L41,0)</f>
        <v>0</v>
      </c>
      <c r="AL41" s="23">
        <f>IF(AN41=21,L41,0)</f>
        <v>0</v>
      </c>
      <c r="AN41" s="38">
        <v>21</v>
      </c>
      <c r="AO41" s="38">
        <f>I41*1</f>
        <v>0</v>
      </c>
      <c r="AP41" s="38">
        <f>I41*(1-1)</f>
        <v>0</v>
      </c>
      <c r="AQ41" s="39" t="s">
        <v>7</v>
      </c>
      <c r="AV41" s="38">
        <f>AW41+AX41</f>
        <v>0</v>
      </c>
      <c r="AW41" s="38">
        <f>H41*AO41</f>
        <v>0</v>
      </c>
      <c r="AX41" s="38">
        <f>H41*AP41</f>
        <v>0</v>
      </c>
      <c r="AY41" s="41" t="s">
        <v>436</v>
      </c>
      <c r="AZ41" s="41" t="s">
        <v>462</v>
      </c>
      <c r="BA41" s="37" t="s">
        <v>471</v>
      </c>
      <c r="BC41" s="38">
        <f>AW41+AX41</f>
        <v>0</v>
      </c>
      <c r="BD41" s="38">
        <f>I41/(100-BE41)*100</f>
        <v>0</v>
      </c>
      <c r="BE41" s="38">
        <v>0</v>
      </c>
      <c r="BF41" s="38">
        <f>41</f>
        <v>41</v>
      </c>
      <c r="BH41" s="23">
        <f>H41*AO41</f>
        <v>0</v>
      </c>
      <c r="BI41" s="23">
        <f>H41*AP41</f>
        <v>0</v>
      </c>
      <c r="BJ41" s="23">
        <f>H41*I41</f>
        <v>0</v>
      </c>
      <c r="BK41" s="23" t="s">
        <v>476</v>
      </c>
      <c r="BL41" s="38">
        <v>61</v>
      </c>
    </row>
    <row r="42" spans="1:14" ht="12.75">
      <c r="A42" s="6"/>
      <c r="B42" s="16" t="s">
        <v>87</v>
      </c>
      <c r="C42" s="163" t="s">
        <v>217</v>
      </c>
      <c r="D42" s="164"/>
      <c r="E42" s="164"/>
      <c r="F42" s="164"/>
      <c r="G42" s="164"/>
      <c r="H42" s="164"/>
      <c r="I42" s="164"/>
      <c r="J42" s="164"/>
      <c r="K42" s="164"/>
      <c r="L42" s="164"/>
      <c r="M42" s="165"/>
      <c r="N42" s="6"/>
    </row>
    <row r="43" spans="1:64" ht="12.75">
      <c r="A43" s="5" t="s">
        <v>15</v>
      </c>
      <c r="B43" s="15" t="s">
        <v>96</v>
      </c>
      <c r="C43" s="161" t="s">
        <v>218</v>
      </c>
      <c r="D43" s="162"/>
      <c r="E43" s="162"/>
      <c r="F43" s="162"/>
      <c r="G43" s="15" t="s">
        <v>396</v>
      </c>
      <c r="H43" s="23">
        <v>72.5</v>
      </c>
      <c r="I43" s="23">
        <v>0</v>
      </c>
      <c r="J43" s="23">
        <f>H43*AO43</f>
        <v>0</v>
      </c>
      <c r="K43" s="23">
        <f>H43*AP43</f>
        <v>0</v>
      </c>
      <c r="L43" s="23">
        <f>H43*I43</f>
        <v>0</v>
      </c>
      <c r="M43" s="34" t="s">
        <v>420</v>
      </c>
      <c r="N43" s="6"/>
      <c r="Z43" s="38">
        <f>IF(AQ43="5",BJ43,0)</f>
        <v>0</v>
      </c>
      <c r="AB43" s="38">
        <f>IF(AQ43="1",BH43,0)</f>
        <v>0</v>
      </c>
      <c r="AC43" s="38">
        <f>IF(AQ43="1",BI43,0)</f>
        <v>0</v>
      </c>
      <c r="AD43" s="38">
        <f>IF(AQ43="7",BH43,0)</f>
        <v>0</v>
      </c>
      <c r="AE43" s="38">
        <f>IF(AQ43="7",BI43,0)</f>
        <v>0</v>
      </c>
      <c r="AF43" s="38">
        <f>IF(AQ43="2",BH43,0)</f>
        <v>0</v>
      </c>
      <c r="AG43" s="38">
        <f>IF(AQ43="2",BI43,0)</f>
        <v>0</v>
      </c>
      <c r="AH43" s="38">
        <f>IF(AQ43="0",BJ43,0)</f>
        <v>0</v>
      </c>
      <c r="AI43" s="37"/>
      <c r="AJ43" s="23">
        <f>IF(AN43=0,L43,0)</f>
        <v>0</v>
      </c>
      <c r="AK43" s="23">
        <f>IF(AN43=15,L43,0)</f>
        <v>0</v>
      </c>
      <c r="AL43" s="23">
        <f>IF(AN43=21,L43,0)</f>
        <v>0</v>
      </c>
      <c r="AN43" s="38">
        <v>21</v>
      </c>
      <c r="AO43" s="38">
        <f>I43*1</f>
        <v>0</v>
      </c>
      <c r="AP43" s="38">
        <f>I43*(1-1)</f>
        <v>0</v>
      </c>
      <c r="AQ43" s="39" t="s">
        <v>7</v>
      </c>
      <c r="AV43" s="38">
        <f>AW43+AX43</f>
        <v>0</v>
      </c>
      <c r="AW43" s="38">
        <f>H43*AO43</f>
        <v>0</v>
      </c>
      <c r="AX43" s="38">
        <f>H43*AP43</f>
        <v>0</v>
      </c>
      <c r="AY43" s="41" t="s">
        <v>436</v>
      </c>
      <c r="AZ43" s="41" t="s">
        <v>462</v>
      </c>
      <c r="BA43" s="37" t="s">
        <v>471</v>
      </c>
      <c r="BC43" s="38">
        <f>AW43+AX43</f>
        <v>0</v>
      </c>
      <c r="BD43" s="38">
        <f>I43/(100-BE43)*100</f>
        <v>0</v>
      </c>
      <c r="BE43" s="38">
        <v>0</v>
      </c>
      <c r="BF43" s="38">
        <f>43</f>
        <v>43</v>
      </c>
      <c r="BH43" s="23">
        <f>H43*AO43</f>
        <v>0</v>
      </c>
      <c r="BI43" s="23">
        <f>H43*AP43</f>
        <v>0</v>
      </c>
      <c r="BJ43" s="23">
        <f>H43*I43</f>
        <v>0</v>
      </c>
      <c r="BK43" s="23" t="s">
        <v>476</v>
      </c>
      <c r="BL43" s="38">
        <v>61</v>
      </c>
    </row>
    <row r="44" spans="1:14" ht="12.75">
      <c r="A44" s="6"/>
      <c r="B44" s="16" t="s">
        <v>87</v>
      </c>
      <c r="C44" s="163" t="s">
        <v>219</v>
      </c>
      <c r="D44" s="164"/>
      <c r="E44" s="164"/>
      <c r="F44" s="164"/>
      <c r="G44" s="164"/>
      <c r="H44" s="164"/>
      <c r="I44" s="164"/>
      <c r="J44" s="164"/>
      <c r="K44" s="164"/>
      <c r="L44" s="164"/>
      <c r="M44" s="165"/>
      <c r="N44" s="6"/>
    </row>
    <row r="45" spans="1:64" ht="12.75">
      <c r="A45" s="5" t="s">
        <v>16</v>
      </c>
      <c r="B45" s="15" t="s">
        <v>97</v>
      </c>
      <c r="C45" s="161" t="s">
        <v>220</v>
      </c>
      <c r="D45" s="162"/>
      <c r="E45" s="162"/>
      <c r="F45" s="162"/>
      <c r="G45" s="15" t="s">
        <v>396</v>
      </c>
      <c r="H45" s="23">
        <v>4.96</v>
      </c>
      <c r="I45" s="23">
        <v>0</v>
      </c>
      <c r="J45" s="23">
        <f>H45*AO45</f>
        <v>0</v>
      </c>
      <c r="K45" s="23">
        <f>H45*AP45</f>
        <v>0</v>
      </c>
      <c r="L45" s="23">
        <f>H45*I45</f>
        <v>0</v>
      </c>
      <c r="M45" s="34" t="s">
        <v>420</v>
      </c>
      <c r="N45" s="6"/>
      <c r="Z45" s="38">
        <f>IF(AQ45="5",BJ45,0)</f>
        <v>0</v>
      </c>
      <c r="AB45" s="38">
        <f>IF(AQ45="1",BH45,0)</f>
        <v>0</v>
      </c>
      <c r="AC45" s="38">
        <f>IF(AQ45="1",BI45,0)</f>
        <v>0</v>
      </c>
      <c r="AD45" s="38">
        <f>IF(AQ45="7",BH45,0)</f>
        <v>0</v>
      </c>
      <c r="AE45" s="38">
        <f>IF(AQ45="7",BI45,0)</f>
        <v>0</v>
      </c>
      <c r="AF45" s="38">
        <f>IF(AQ45="2",BH45,0)</f>
        <v>0</v>
      </c>
      <c r="AG45" s="38">
        <f>IF(AQ45="2",BI45,0)</f>
        <v>0</v>
      </c>
      <c r="AH45" s="38">
        <f>IF(AQ45="0",BJ45,0)</f>
        <v>0</v>
      </c>
      <c r="AI45" s="37"/>
      <c r="AJ45" s="23">
        <f>IF(AN45=0,L45,0)</f>
        <v>0</v>
      </c>
      <c r="AK45" s="23">
        <f>IF(AN45=15,L45,0)</f>
        <v>0</v>
      </c>
      <c r="AL45" s="23">
        <f>IF(AN45=21,L45,0)</f>
        <v>0</v>
      </c>
      <c r="AN45" s="38">
        <v>21</v>
      </c>
      <c r="AO45" s="38">
        <f>I45*0.117520359903103</f>
        <v>0</v>
      </c>
      <c r="AP45" s="38">
        <f>I45*(1-0.117520359903103)</f>
        <v>0</v>
      </c>
      <c r="AQ45" s="39" t="s">
        <v>7</v>
      </c>
      <c r="AV45" s="38">
        <f>AW45+AX45</f>
        <v>0</v>
      </c>
      <c r="AW45" s="38">
        <f>H45*AO45</f>
        <v>0</v>
      </c>
      <c r="AX45" s="38">
        <f>H45*AP45</f>
        <v>0</v>
      </c>
      <c r="AY45" s="41" t="s">
        <v>436</v>
      </c>
      <c r="AZ45" s="41" t="s">
        <v>462</v>
      </c>
      <c r="BA45" s="37" t="s">
        <v>471</v>
      </c>
      <c r="BC45" s="38">
        <f>AW45+AX45</f>
        <v>0</v>
      </c>
      <c r="BD45" s="38">
        <f>I45/(100-BE45)*100</f>
        <v>0</v>
      </c>
      <c r="BE45" s="38">
        <v>0</v>
      </c>
      <c r="BF45" s="38">
        <f>45</f>
        <v>45</v>
      </c>
      <c r="BH45" s="23">
        <f>H45*AO45</f>
        <v>0</v>
      </c>
      <c r="BI45" s="23">
        <f>H45*AP45</f>
        <v>0</v>
      </c>
      <c r="BJ45" s="23">
        <f>H45*I45</f>
        <v>0</v>
      </c>
      <c r="BK45" s="23" t="s">
        <v>476</v>
      </c>
      <c r="BL45" s="38">
        <v>61</v>
      </c>
    </row>
    <row r="46" spans="1:14" ht="12.75">
      <c r="A46" s="6"/>
      <c r="B46" s="16" t="s">
        <v>90</v>
      </c>
      <c r="C46" s="169" t="s">
        <v>221</v>
      </c>
      <c r="D46" s="170"/>
      <c r="E46" s="170"/>
      <c r="F46" s="170"/>
      <c r="G46" s="170"/>
      <c r="H46" s="170"/>
      <c r="I46" s="170"/>
      <c r="J46" s="170"/>
      <c r="K46" s="170"/>
      <c r="L46" s="170"/>
      <c r="M46" s="171"/>
      <c r="N46" s="6"/>
    </row>
    <row r="47" spans="1:14" ht="12.75">
      <c r="A47" s="6"/>
      <c r="B47" s="17" t="s">
        <v>84</v>
      </c>
      <c r="C47" s="166" t="s">
        <v>222</v>
      </c>
      <c r="D47" s="167"/>
      <c r="E47" s="167"/>
      <c r="F47" s="167"/>
      <c r="G47" s="167"/>
      <c r="H47" s="167"/>
      <c r="I47" s="167"/>
      <c r="J47" s="167"/>
      <c r="K47" s="167"/>
      <c r="L47" s="167"/>
      <c r="M47" s="168"/>
      <c r="N47" s="6"/>
    </row>
    <row r="48" spans="1:64" ht="12.75">
      <c r="A48" s="63" t="s">
        <v>17</v>
      </c>
      <c r="B48" s="63" t="s">
        <v>98</v>
      </c>
      <c r="C48" s="172" t="s">
        <v>223</v>
      </c>
      <c r="D48" s="162"/>
      <c r="E48" s="162"/>
      <c r="F48" s="173"/>
      <c r="G48" s="63" t="s">
        <v>394</v>
      </c>
      <c r="H48" s="64">
        <v>90.8</v>
      </c>
      <c r="I48" s="64">
        <v>0</v>
      </c>
      <c r="J48" s="64">
        <f>H48*AO48</f>
        <v>0</v>
      </c>
      <c r="K48" s="64">
        <f>H48*AP48</f>
        <v>0</v>
      </c>
      <c r="L48" s="64">
        <f>H48*I48</f>
        <v>0</v>
      </c>
      <c r="M48" s="65" t="s">
        <v>420</v>
      </c>
      <c r="N48" s="66"/>
      <c r="Z48" s="38">
        <f>IF(AQ48="5",BJ48,0)</f>
        <v>0</v>
      </c>
      <c r="AB48" s="38">
        <f>IF(AQ48="1",BH48,0)</f>
        <v>0</v>
      </c>
      <c r="AC48" s="38">
        <f>IF(AQ48="1",BI48,0)</f>
        <v>0</v>
      </c>
      <c r="AD48" s="38">
        <f>IF(AQ48="7",BH48,0)</f>
        <v>0</v>
      </c>
      <c r="AE48" s="38">
        <f>IF(AQ48="7",BI48,0)</f>
        <v>0</v>
      </c>
      <c r="AF48" s="38">
        <f>IF(AQ48="2",BH48,0)</f>
        <v>0</v>
      </c>
      <c r="AG48" s="38">
        <f>IF(AQ48="2",BI48,0)</f>
        <v>0</v>
      </c>
      <c r="AH48" s="38">
        <f>IF(AQ48="0",BJ48,0)</f>
        <v>0</v>
      </c>
      <c r="AI48" s="37"/>
      <c r="AJ48" s="23">
        <f>IF(AN48=0,L48,0)</f>
        <v>0</v>
      </c>
      <c r="AK48" s="23">
        <f>IF(AN48=15,L48,0)</f>
        <v>0</v>
      </c>
      <c r="AL48" s="23">
        <f>IF(AN48=21,L48,0)</f>
        <v>0</v>
      </c>
      <c r="AN48" s="38">
        <v>21</v>
      </c>
      <c r="AO48" s="38">
        <f>I48*0</f>
        <v>0</v>
      </c>
      <c r="AP48" s="38">
        <f>I48*(1-0)</f>
        <v>0</v>
      </c>
      <c r="AQ48" s="39" t="s">
        <v>7</v>
      </c>
      <c r="AV48" s="38">
        <f>AW48+AX48</f>
        <v>0</v>
      </c>
      <c r="AW48" s="38">
        <f>H48*AO48</f>
        <v>0</v>
      </c>
      <c r="AX48" s="38">
        <f>H48*AP48</f>
        <v>0</v>
      </c>
      <c r="AY48" s="41" t="s">
        <v>436</v>
      </c>
      <c r="AZ48" s="41" t="s">
        <v>462</v>
      </c>
      <c r="BA48" s="37" t="s">
        <v>471</v>
      </c>
      <c r="BC48" s="38">
        <f>AW48+AX48</f>
        <v>0</v>
      </c>
      <c r="BD48" s="38">
        <f>I48/(100-BE48)*100</f>
        <v>0</v>
      </c>
      <c r="BE48" s="38">
        <v>0</v>
      </c>
      <c r="BF48" s="38">
        <f>48</f>
        <v>48</v>
      </c>
      <c r="BH48" s="23">
        <f>H48*AO48</f>
        <v>0</v>
      </c>
      <c r="BI48" s="23">
        <f>H48*AP48</f>
        <v>0</v>
      </c>
      <c r="BJ48" s="23">
        <f>H48*I48</f>
        <v>0</v>
      </c>
      <c r="BK48" s="23" t="s">
        <v>476</v>
      </c>
      <c r="BL48" s="38">
        <v>61</v>
      </c>
    </row>
    <row r="49" spans="1:14" ht="12.75">
      <c r="A49" s="6"/>
      <c r="B49" s="17" t="s">
        <v>84</v>
      </c>
      <c r="C49" s="166" t="s">
        <v>224</v>
      </c>
      <c r="D49" s="167"/>
      <c r="E49" s="167"/>
      <c r="F49" s="167"/>
      <c r="G49" s="167"/>
      <c r="H49" s="167"/>
      <c r="I49" s="167"/>
      <c r="J49" s="167"/>
      <c r="K49" s="167"/>
      <c r="L49" s="167"/>
      <c r="M49" s="168"/>
      <c r="N49" s="6"/>
    </row>
    <row r="50" spans="1:47" ht="12.75">
      <c r="A50" s="4"/>
      <c r="B50" s="14" t="s">
        <v>68</v>
      </c>
      <c r="C50" s="159" t="s">
        <v>225</v>
      </c>
      <c r="D50" s="160"/>
      <c r="E50" s="160"/>
      <c r="F50" s="160"/>
      <c r="G50" s="21" t="s">
        <v>6</v>
      </c>
      <c r="H50" s="21" t="s">
        <v>6</v>
      </c>
      <c r="I50" s="21" t="s">
        <v>6</v>
      </c>
      <c r="J50" s="44">
        <f>SUM(J51:J79)</f>
        <v>0</v>
      </c>
      <c r="K50" s="44">
        <f>SUM(K51:K79)</f>
        <v>0</v>
      </c>
      <c r="L50" s="44">
        <f>SUM(L51:L79)</f>
        <v>0</v>
      </c>
      <c r="M50" s="33"/>
      <c r="N50" s="6"/>
      <c r="AI50" s="37"/>
      <c r="AS50" s="44">
        <f>SUM(AJ51:AJ79)</f>
        <v>0</v>
      </c>
      <c r="AT50" s="44">
        <f>SUM(AK51:AK79)</f>
        <v>0</v>
      </c>
      <c r="AU50" s="44">
        <f>SUM(AL51:AL79)</f>
        <v>0</v>
      </c>
    </row>
    <row r="51" spans="1:64" ht="12.75">
      <c r="A51" s="5" t="s">
        <v>18</v>
      </c>
      <c r="B51" s="15" t="s">
        <v>99</v>
      </c>
      <c r="C51" s="161" t="s">
        <v>226</v>
      </c>
      <c r="D51" s="162"/>
      <c r="E51" s="162"/>
      <c r="F51" s="162"/>
      <c r="G51" s="15" t="s">
        <v>394</v>
      </c>
      <c r="H51" s="23">
        <v>978.35</v>
      </c>
      <c r="I51" s="23">
        <v>0</v>
      </c>
      <c r="J51" s="23">
        <f>H51*AO51</f>
        <v>0</v>
      </c>
      <c r="K51" s="23">
        <f>H51*AP51</f>
        <v>0</v>
      </c>
      <c r="L51" s="23">
        <f>H51*I51</f>
        <v>0</v>
      </c>
      <c r="M51" s="34" t="s">
        <v>420</v>
      </c>
      <c r="N51" s="6"/>
      <c r="Z51" s="38">
        <f>IF(AQ51="5",BJ51,0)</f>
        <v>0</v>
      </c>
      <c r="AB51" s="38">
        <f>IF(AQ51="1",BH51,0)</f>
        <v>0</v>
      </c>
      <c r="AC51" s="38">
        <f>IF(AQ51="1",BI51,0)</f>
        <v>0</v>
      </c>
      <c r="AD51" s="38">
        <f>IF(AQ51="7",BH51,0)</f>
        <v>0</v>
      </c>
      <c r="AE51" s="38">
        <f>IF(AQ51="7",BI51,0)</f>
        <v>0</v>
      </c>
      <c r="AF51" s="38">
        <f>IF(AQ51="2",BH51,0)</f>
        <v>0</v>
      </c>
      <c r="AG51" s="38">
        <f>IF(AQ51="2",BI51,0)</f>
        <v>0</v>
      </c>
      <c r="AH51" s="38">
        <f>IF(AQ51="0",BJ51,0)</f>
        <v>0</v>
      </c>
      <c r="AI51" s="37"/>
      <c r="AJ51" s="23">
        <f>IF(AN51=0,L51,0)</f>
        <v>0</v>
      </c>
      <c r="AK51" s="23">
        <f>IF(AN51=15,L51,0)</f>
        <v>0</v>
      </c>
      <c r="AL51" s="23">
        <f>IF(AN51=21,L51,0)</f>
        <v>0</v>
      </c>
      <c r="AN51" s="38">
        <v>21</v>
      </c>
      <c r="AO51" s="38">
        <f>I51*0.0600425047092885</f>
        <v>0</v>
      </c>
      <c r="AP51" s="38">
        <f>I51*(1-0.0600425047092885)</f>
        <v>0</v>
      </c>
      <c r="AQ51" s="39" t="s">
        <v>7</v>
      </c>
      <c r="AV51" s="38">
        <f>AW51+AX51</f>
        <v>0</v>
      </c>
      <c r="AW51" s="38">
        <f>H51*AO51</f>
        <v>0</v>
      </c>
      <c r="AX51" s="38">
        <f>H51*AP51</f>
        <v>0</v>
      </c>
      <c r="AY51" s="41" t="s">
        <v>437</v>
      </c>
      <c r="AZ51" s="41" t="s">
        <v>462</v>
      </c>
      <c r="BA51" s="37" t="s">
        <v>471</v>
      </c>
      <c r="BC51" s="38">
        <f>AW51+AX51</f>
        <v>0</v>
      </c>
      <c r="BD51" s="38">
        <f>I51/(100-BE51)*100</f>
        <v>0</v>
      </c>
      <c r="BE51" s="38">
        <v>0</v>
      </c>
      <c r="BF51" s="38">
        <f>51</f>
        <v>51</v>
      </c>
      <c r="BH51" s="23">
        <f>H51*AO51</f>
        <v>0</v>
      </c>
      <c r="BI51" s="23">
        <f>H51*AP51</f>
        <v>0</v>
      </c>
      <c r="BJ51" s="23">
        <f>H51*I51</f>
        <v>0</v>
      </c>
      <c r="BK51" s="23" t="s">
        <v>476</v>
      </c>
      <c r="BL51" s="38">
        <v>62</v>
      </c>
    </row>
    <row r="52" spans="1:64" ht="12.75">
      <c r="A52" s="5" t="s">
        <v>19</v>
      </c>
      <c r="B52" s="15" t="s">
        <v>100</v>
      </c>
      <c r="C52" s="161" t="s">
        <v>227</v>
      </c>
      <c r="D52" s="162"/>
      <c r="E52" s="162"/>
      <c r="F52" s="162"/>
      <c r="G52" s="15" t="s">
        <v>394</v>
      </c>
      <c r="H52" s="23">
        <v>978.35</v>
      </c>
      <c r="I52" s="23">
        <v>0</v>
      </c>
      <c r="J52" s="23">
        <f>H52*AO52</f>
        <v>0</v>
      </c>
      <c r="K52" s="23">
        <f>H52*AP52</f>
        <v>0</v>
      </c>
      <c r="L52" s="23">
        <f>H52*I52</f>
        <v>0</v>
      </c>
      <c r="M52" s="34" t="s">
        <v>420</v>
      </c>
      <c r="N52" s="6"/>
      <c r="Z52" s="38">
        <f>IF(AQ52="5",BJ52,0)</f>
        <v>0</v>
      </c>
      <c r="AB52" s="38">
        <f>IF(AQ52="1",BH52,0)</f>
        <v>0</v>
      </c>
      <c r="AC52" s="38">
        <f>IF(AQ52="1",BI52,0)</f>
        <v>0</v>
      </c>
      <c r="AD52" s="38">
        <f>IF(AQ52="7",BH52,0)</f>
        <v>0</v>
      </c>
      <c r="AE52" s="38">
        <f>IF(AQ52="7",BI52,0)</f>
        <v>0</v>
      </c>
      <c r="AF52" s="38">
        <f>IF(AQ52="2",BH52,0)</f>
        <v>0</v>
      </c>
      <c r="AG52" s="38">
        <f>IF(AQ52="2",BI52,0)</f>
        <v>0</v>
      </c>
      <c r="AH52" s="38">
        <f>IF(AQ52="0",BJ52,0)</f>
        <v>0</v>
      </c>
      <c r="AI52" s="37"/>
      <c r="AJ52" s="23">
        <f>IF(AN52=0,L52,0)</f>
        <v>0</v>
      </c>
      <c r="AK52" s="23">
        <f>IF(AN52=15,L52,0)</f>
        <v>0</v>
      </c>
      <c r="AL52" s="23">
        <f>IF(AN52=21,L52,0)</f>
        <v>0</v>
      </c>
      <c r="AN52" s="38">
        <v>21</v>
      </c>
      <c r="AO52" s="38">
        <f>I52*0.46852806557062</f>
        <v>0</v>
      </c>
      <c r="AP52" s="38">
        <f>I52*(1-0.46852806557062)</f>
        <v>0</v>
      </c>
      <c r="AQ52" s="39" t="s">
        <v>7</v>
      </c>
      <c r="AV52" s="38">
        <f>AW52+AX52</f>
        <v>0</v>
      </c>
      <c r="AW52" s="38">
        <f>H52*AO52</f>
        <v>0</v>
      </c>
      <c r="AX52" s="38">
        <f>H52*AP52</f>
        <v>0</v>
      </c>
      <c r="AY52" s="41" t="s">
        <v>437</v>
      </c>
      <c r="AZ52" s="41" t="s">
        <v>462</v>
      </c>
      <c r="BA52" s="37" t="s">
        <v>471</v>
      </c>
      <c r="BC52" s="38">
        <f>AW52+AX52</f>
        <v>0</v>
      </c>
      <c r="BD52" s="38">
        <f>I52/(100-BE52)*100</f>
        <v>0</v>
      </c>
      <c r="BE52" s="38">
        <v>0</v>
      </c>
      <c r="BF52" s="38">
        <f>52</f>
        <v>52</v>
      </c>
      <c r="BH52" s="23">
        <f>H52*AO52</f>
        <v>0</v>
      </c>
      <c r="BI52" s="23">
        <f>H52*AP52</f>
        <v>0</v>
      </c>
      <c r="BJ52" s="23">
        <f>H52*I52</f>
        <v>0</v>
      </c>
      <c r="BK52" s="23" t="s">
        <v>476</v>
      </c>
      <c r="BL52" s="38">
        <v>62</v>
      </c>
    </row>
    <row r="53" spans="1:14" ht="12.75">
      <c r="A53" s="6"/>
      <c r="B53" s="16" t="s">
        <v>90</v>
      </c>
      <c r="C53" s="169" t="s">
        <v>221</v>
      </c>
      <c r="D53" s="170"/>
      <c r="E53" s="170"/>
      <c r="F53" s="170"/>
      <c r="G53" s="170"/>
      <c r="H53" s="170"/>
      <c r="I53" s="170"/>
      <c r="J53" s="170"/>
      <c r="K53" s="170"/>
      <c r="L53" s="170"/>
      <c r="M53" s="171"/>
      <c r="N53" s="6"/>
    </row>
    <row r="54" spans="1:14" ht="25.5" customHeight="1">
      <c r="A54" s="6"/>
      <c r="B54" s="17" t="s">
        <v>84</v>
      </c>
      <c r="C54" s="166" t="s">
        <v>228</v>
      </c>
      <c r="D54" s="167"/>
      <c r="E54" s="167"/>
      <c r="F54" s="167"/>
      <c r="G54" s="167"/>
      <c r="H54" s="167"/>
      <c r="I54" s="167"/>
      <c r="J54" s="167"/>
      <c r="K54" s="167"/>
      <c r="L54" s="167"/>
      <c r="M54" s="168"/>
      <c r="N54" s="6"/>
    </row>
    <row r="55" spans="1:64" ht="12.75">
      <c r="A55" s="5" t="s">
        <v>20</v>
      </c>
      <c r="B55" s="15" t="s">
        <v>101</v>
      </c>
      <c r="C55" s="161" t="s">
        <v>229</v>
      </c>
      <c r="D55" s="162"/>
      <c r="E55" s="162"/>
      <c r="F55" s="162"/>
      <c r="G55" s="15" t="s">
        <v>394</v>
      </c>
      <c r="H55" s="23">
        <v>68.8</v>
      </c>
      <c r="I55" s="23">
        <v>0</v>
      </c>
      <c r="J55" s="23">
        <f>H55*AO55</f>
        <v>0</v>
      </c>
      <c r="K55" s="23">
        <f>H55*AP55</f>
        <v>0</v>
      </c>
      <c r="L55" s="23">
        <f>H55*I55</f>
        <v>0</v>
      </c>
      <c r="M55" s="34" t="s">
        <v>420</v>
      </c>
      <c r="N55" s="6"/>
      <c r="Z55" s="38">
        <f>IF(AQ55="5",BJ55,0)</f>
        <v>0</v>
      </c>
      <c r="AB55" s="38">
        <f>IF(AQ55="1",BH55,0)</f>
        <v>0</v>
      </c>
      <c r="AC55" s="38">
        <f>IF(AQ55="1",BI55,0)</f>
        <v>0</v>
      </c>
      <c r="AD55" s="38">
        <f>IF(AQ55="7",BH55,0)</f>
        <v>0</v>
      </c>
      <c r="AE55" s="38">
        <f>IF(AQ55="7",BI55,0)</f>
        <v>0</v>
      </c>
      <c r="AF55" s="38">
        <f>IF(AQ55="2",BH55,0)</f>
        <v>0</v>
      </c>
      <c r="AG55" s="38">
        <f>IF(AQ55="2",BI55,0)</f>
        <v>0</v>
      </c>
      <c r="AH55" s="38">
        <f>IF(AQ55="0",BJ55,0)</f>
        <v>0</v>
      </c>
      <c r="AI55" s="37"/>
      <c r="AJ55" s="23">
        <f>IF(AN55=0,L55,0)</f>
        <v>0</v>
      </c>
      <c r="AK55" s="23">
        <f>IF(AN55=15,L55,0)</f>
        <v>0</v>
      </c>
      <c r="AL55" s="23">
        <f>IF(AN55=21,L55,0)</f>
        <v>0</v>
      </c>
      <c r="AN55" s="38">
        <v>21</v>
      </c>
      <c r="AO55" s="38">
        <f>I55*0</f>
        <v>0</v>
      </c>
      <c r="AP55" s="38">
        <f>I55*(1-0)</f>
        <v>0</v>
      </c>
      <c r="AQ55" s="39" t="s">
        <v>7</v>
      </c>
      <c r="AV55" s="38">
        <f>AW55+AX55</f>
        <v>0</v>
      </c>
      <c r="AW55" s="38">
        <f>H55*AO55</f>
        <v>0</v>
      </c>
      <c r="AX55" s="38">
        <f>H55*AP55</f>
        <v>0</v>
      </c>
      <c r="AY55" s="41" t="s">
        <v>437</v>
      </c>
      <c r="AZ55" s="41" t="s">
        <v>462</v>
      </c>
      <c r="BA55" s="37" t="s">
        <v>471</v>
      </c>
      <c r="BC55" s="38">
        <f>AW55+AX55</f>
        <v>0</v>
      </c>
      <c r="BD55" s="38">
        <f>I55/(100-BE55)*100</f>
        <v>0</v>
      </c>
      <c r="BE55" s="38">
        <v>0</v>
      </c>
      <c r="BF55" s="38">
        <f>55</f>
        <v>55</v>
      </c>
      <c r="BH55" s="23">
        <f>H55*AO55</f>
        <v>0</v>
      </c>
      <c r="BI55" s="23">
        <f>H55*AP55</f>
        <v>0</v>
      </c>
      <c r="BJ55" s="23">
        <f>H55*I55</f>
        <v>0</v>
      </c>
      <c r="BK55" s="23" t="s">
        <v>476</v>
      </c>
      <c r="BL55" s="38">
        <v>62</v>
      </c>
    </row>
    <row r="56" spans="1:14" ht="12.75">
      <c r="A56" s="6"/>
      <c r="B56" s="17" t="s">
        <v>84</v>
      </c>
      <c r="C56" s="166" t="s">
        <v>230</v>
      </c>
      <c r="D56" s="167"/>
      <c r="E56" s="167"/>
      <c r="F56" s="167"/>
      <c r="G56" s="167"/>
      <c r="H56" s="167"/>
      <c r="I56" s="167"/>
      <c r="J56" s="167"/>
      <c r="K56" s="167"/>
      <c r="L56" s="167"/>
      <c r="M56" s="168"/>
      <c r="N56" s="6"/>
    </row>
    <row r="57" spans="1:64" ht="12.75">
      <c r="A57" s="5" t="s">
        <v>21</v>
      </c>
      <c r="B57" s="15" t="s">
        <v>102</v>
      </c>
      <c r="C57" s="161" t="s">
        <v>231</v>
      </c>
      <c r="D57" s="162"/>
      <c r="E57" s="162"/>
      <c r="F57" s="162"/>
      <c r="G57" s="15" t="s">
        <v>394</v>
      </c>
      <c r="H57" s="23">
        <v>90.8</v>
      </c>
      <c r="I57" s="23">
        <v>0</v>
      </c>
      <c r="J57" s="23">
        <f>H57*AO57</f>
        <v>0</v>
      </c>
      <c r="K57" s="23">
        <f>H57*AP57</f>
        <v>0</v>
      </c>
      <c r="L57" s="23">
        <f>H57*I57</f>
        <v>0</v>
      </c>
      <c r="M57" s="34" t="s">
        <v>420</v>
      </c>
      <c r="N57" s="6"/>
      <c r="Z57" s="38">
        <f>IF(AQ57="5",BJ57,0)</f>
        <v>0</v>
      </c>
      <c r="AB57" s="38">
        <f>IF(AQ57="1",BH57,0)</f>
        <v>0</v>
      </c>
      <c r="AC57" s="38">
        <f>IF(AQ57="1",BI57,0)</f>
        <v>0</v>
      </c>
      <c r="AD57" s="38">
        <f>IF(AQ57="7",BH57,0)</f>
        <v>0</v>
      </c>
      <c r="AE57" s="38">
        <f>IF(AQ57="7",BI57,0)</f>
        <v>0</v>
      </c>
      <c r="AF57" s="38">
        <f>IF(AQ57="2",BH57,0)</f>
        <v>0</v>
      </c>
      <c r="AG57" s="38">
        <f>IF(AQ57="2",BI57,0)</f>
        <v>0</v>
      </c>
      <c r="AH57" s="38">
        <f>IF(AQ57="0",BJ57,0)</f>
        <v>0</v>
      </c>
      <c r="AI57" s="37"/>
      <c r="AJ57" s="23">
        <f>IF(AN57=0,L57,0)</f>
        <v>0</v>
      </c>
      <c r="AK57" s="23">
        <f>IF(AN57=15,L57,0)</f>
        <v>0</v>
      </c>
      <c r="AL57" s="23">
        <f>IF(AN57=21,L57,0)</f>
        <v>0</v>
      </c>
      <c r="AN57" s="38">
        <v>21</v>
      </c>
      <c r="AO57" s="38">
        <f>I57*0.237733874114662</f>
        <v>0</v>
      </c>
      <c r="AP57" s="38">
        <f>I57*(1-0.237733874114662)</f>
        <v>0</v>
      </c>
      <c r="AQ57" s="39" t="s">
        <v>7</v>
      </c>
      <c r="AV57" s="38">
        <f>AW57+AX57</f>
        <v>0</v>
      </c>
      <c r="AW57" s="38">
        <f>H57*AO57</f>
        <v>0</v>
      </c>
      <c r="AX57" s="38">
        <f>H57*AP57</f>
        <v>0</v>
      </c>
      <c r="AY57" s="41" t="s">
        <v>437</v>
      </c>
      <c r="AZ57" s="41" t="s">
        <v>462</v>
      </c>
      <c r="BA57" s="37" t="s">
        <v>471</v>
      </c>
      <c r="BC57" s="38">
        <f>AW57+AX57</f>
        <v>0</v>
      </c>
      <c r="BD57" s="38">
        <f>I57/(100-BE57)*100</f>
        <v>0</v>
      </c>
      <c r="BE57" s="38">
        <v>0</v>
      </c>
      <c r="BF57" s="38">
        <f>57</f>
        <v>57</v>
      </c>
      <c r="BH57" s="23">
        <f>H57*AO57</f>
        <v>0</v>
      </c>
      <c r="BI57" s="23">
        <f>H57*AP57</f>
        <v>0</v>
      </c>
      <c r="BJ57" s="23">
        <f>H57*I57</f>
        <v>0</v>
      </c>
      <c r="BK57" s="23" t="s">
        <v>476</v>
      </c>
      <c r="BL57" s="38">
        <v>62</v>
      </c>
    </row>
    <row r="58" spans="1:14" ht="12.75">
      <c r="A58" s="6"/>
      <c r="B58" s="16" t="s">
        <v>87</v>
      </c>
      <c r="C58" s="163" t="s">
        <v>232</v>
      </c>
      <c r="D58" s="164"/>
      <c r="E58" s="164"/>
      <c r="F58" s="164"/>
      <c r="G58" s="164"/>
      <c r="H58" s="164"/>
      <c r="I58" s="164"/>
      <c r="J58" s="164"/>
      <c r="K58" s="164"/>
      <c r="L58" s="164"/>
      <c r="M58" s="165"/>
      <c r="N58" s="6"/>
    </row>
    <row r="59" spans="1:14" ht="25.5" customHeight="1">
      <c r="A59" s="6"/>
      <c r="B59" s="17" t="s">
        <v>84</v>
      </c>
      <c r="C59" s="166" t="s">
        <v>233</v>
      </c>
      <c r="D59" s="167"/>
      <c r="E59" s="167"/>
      <c r="F59" s="167"/>
      <c r="G59" s="167"/>
      <c r="H59" s="167"/>
      <c r="I59" s="167"/>
      <c r="J59" s="167"/>
      <c r="K59" s="167"/>
      <c r="L59" s="167"/>
      <c r="M59" s="168"/>
      <c r="N59" s="6"/>
    </row>
    <row r="60" spans="1:64" ht="12.75">
      <c r="A60" s="5" t="s">
        <v>22</v>
      </c>
      <c r="B60" s="15" t="s">
        <v>103</v>
      </c>
      <c r="C60" s="161" t="s">
        <v>234</v>
      </c>
      <c r="D60" s="162"/>
      <c r="E60" s="162"/>
      <c r="F60" s="162"/>
      <c r="G60" s="15" t="s">
        <v>394</v>
      </c>
      <c r="H60" s="23">
        <v>253.66</v>
      </c>
      <c r="I60" s="23">
        <v>0</v>
      </c>
      <c r="J60" s="23">
        <f>H60*AO60</f>
        <v>0</v>
      </c>
      <c r="K60" s="23">
        <f>H60*AP60</f>
        <v>0</v>
      </c>
      <c r="L60" s="23">
        <f>H60*I60</f>
        <v>0</v>
      </c>
      <c r="M60" s="34" t="s">
        <v>420</v>
      </c>
      <c r="N60" s="6"/>
      <c r="Z60" s="38">
        <f>IF(AQ60="5",BJ60,0)</f>
        <v>0</v>
      </c>
      <c r="AB60" s="38">
        <f>IF(AQ60="1",BH60,0)</f>
        <v>0</v>
      </c>
      <c r="AC60" s="38">
        <f>IF(AQ60="1",BI60,0)</f>
        <v>0</v>
      </c>
      <c r="AD60" s="38">
        <f>IF(AQ60="7",BH60,0)</f>
        <v>0</v>
      </c>
      <c r="AE60" s="38">
        <f>IF(AQ60="7",BI60,0)</f>
        <v>0</v>
      </c>
      <c r="AF60" s="38">
        <f>IF(AQ60="2",BH60,0)</f>
        <v>0</v>
      </c>
      <c r="AG60" s="38">
        <f>IF(AQ60="2",BI60,0)</f>
        <v>0</v>
      </c>
      <c r="AH60" s="38">
        <f>IF(AQ60="0",BJ60,0)</f>
        <v>0</v>
      </c>
      <c r="AI60" s="37"/>
      <c r="AJ60" s="23">
        <f>IF(AN60=0,L60,0)</f>
        <v>0</v>
      </c>
      <c r="AK60" s="23">
        <f>IF(AN60=15,L60,0)</f>
        <v>0</v>
      </c>
      <c r="AL60" s="23">
        <f>IF(AN60=21,L60,0)</f>
        <v>0</v>
      </c>
      <c r="AN60" s="38">
        <v>21</v>
      </c>
      <c r="AO60" s="38">
        <f>I60*0.291782943376055</f>
        <v>0</v>
      </c>
      <c r="AP60" s="38">
        <f>I60*(1-0.291782943376055)</f>
        <v>0</v>
      </c>
      <c r="AQ60" s="39" t="s">
        <v>7</v>
      </c>
      <c r="AV60" s="38">
        <f>AW60+AX60</f>
        <v>0</v>
      </c>
      <c r="AW60" s="38">
        <f>H60*AO60</f>
        <v>0</v>
      </c>
      <c r="AX60" s="38">
        <f>H60*AP60</f>
        <v>0</v>
      </c>
      <c r="AY60" s="41" t="s">
        <v>437</v>
      </c>
      <c r="AZ60" s="41" t="s">
        <v>462</v>
      </c>
      <c r="BA60" s="37" t="s">
        <v>471</v>
      </c>
      <c r="BC60" s="38">
        <f>AW60+AX60</f>
        <v>0</v>
      </c>
      <c r="BD60" s="38">
        <f>I60/(100-BE60)*100</f>
        <v>0</v>
      </c>
      <c r="BE60" s="38">
        <v>0</v>
      </c>
      <c r="BF60" s="38">
        <f>60</f>
        <v>60</v>
      </c>
      <c r="BH60" s="23">
        <f>H60*AO60</f>
        <v>0</v>
      </c>
      <c r="BI60" s="23">
        <f>H60*AP60</f>
        <v>0</v>
      </c>
      <c r="BJ60" s="23">
        <f>H60*I60</f>
        <v>0</v>
      </c>
      <c r="BK60" s="23" t="s">
        <v>476</v>
      </c>
      <c r="BL60" s="38">
        <v>62</v>
      </c>
    </row>
    <row r="61" spans="1:14" ht="51" customHeight="1">
      <c r="A61" s="6"/>
      <c r="B61" s="16" t="s">
        <v>87</v>
      </c>
      <c r="C61" s="163" t="s">
        <v>235</v>
      </c>
      <c r="D61" s="164"/>
      <c r="E61" s="164"/>
      <c r="F61" s="164"/>
      <c r="G61" s="164"/>
      <c r="H61" s="164"/>
      <c r="I61" s="164"/>
      <c r="J61" s="164"/>
      <c r="K61" s="164"/>
      <c r="L61" s="164"/>
      <c r="M61" s="165"/>
      <c r="N61" s="6"/>
    </row>
    <row r="62" spans="1:14" ht="38.25" customHeight="1">
      <c r="A62" s="6"/>
      <c r="B62" s="17" t="s">
        <v>84</v>
      </c>
      <c r="C62" s="166" t="s">
        <v>236</v>
      </c>
      <c r="D62" s="167"/>
      <c r="E62" s="167"/>
      <c r="F62" s="167"/>
      <c r="G62" s="167"/>
      <c r="H62" s="167"/>
      <c r="I62" s="167"/>
      <c r="J62" s="167"/>
      <c r="K62" s="167"/>
      <c r="L62" s="167"/>
      <c r="M62" s="168"/>
      <c r="N62" s="6"/>
    </row>
    <row r="63" spans="1:64" ht="12.75">
      <c r="A63" s="5" t="s">
        <v>23</v>
      </c>
      <c r="B63" s="15" t="s">
        <v>104</v>
      </c>
      <c r="C63" s="161" t="s">
        <v>237</v>
      </c>
      <c r="D63" s="162"/>
      <c r="E63" s="162"/>
      <c r="F63" s="162"/>
      <c r="G63" s="15" t="s">
        <v>394</v>
      </c>
      <c r="H63" s="23">
        <v>1974.2</v>
      </c>
      <c r="I63" s="23">
        <v>0</v>
      </c>
      <c r="J63" s="23">
        <f>H63*AO63</f>
        <v>0</v>
      </c>
      <c r="K63" s="23">
        <f>H63*AP63</f>
        <v>0</v>
      </c>
      <c r="L63" s="23">
        <f>H63*I63</f>
        <v>0</v>
      </c>
      <c r="M63" s="34" t="s">
        <v>420</v>
      </c>
      <c r="N63" s="6"/>
      <c r="Z63" s="38">
        <f>IF(AQ63="5",BJ63,0)</f>
        <v>0</v>
      </c>
      <c r="AB63" s="38">
        <f>IF(AQ63="1",BH63,0)</f>
        <v>0</v>
      </c>
      <c r="AC63" s="38">
        <f>IF(AQ63="1",BI63,0)</f>
        <v>0</v>
      </c>
      <c r="AD63" s="38">
        <f>IF(AQ63="7",BH63,0)</f>
        <v>0</v>
      </c>
      <c r="AE63" s="38">
        <f>IF(AQ63="7",BI63,0)</f>
        <v>0</v>
      </c>
      <c r="AF63" s="38">
        <f>IF(AQ63="2",BH63,0)</f>
        <v>0</v>
      </c>
      <c r="AG63" s="38">
        <f>IF(AQ63="2",BI63,0)</f>
        <v>0</v>
      </c>
      <c r="AH63" s="38">
        <f>IF(AQ63="0",BJ63,0)</f>
        <v>0</v>
      </c>
      <c r="AI63" s="37"/>
      <c r="AJ63" s="23">
        <f>IF(AN63=0,L63,0)</f>
        <v>0</v>
      </c>
      <c r="AK63" s="23">
        <f>IF(AN63=15,L63,0)</f>
        <v>0</v>
      </c>
      <c r="AL63" s="23">
        <f>IF(AN63=21,L63,0)</f>
        <v>0</v>
      </c>
      <c r="AN63" s="38">
        <v>21</v>
      </c>
      <c r="AO63" s="38">
        <f>I63*0.563990267639903</f>
        <v>0</v>
      </c>
      <c r="AP63" s="38">
        <f>I63*(1-0.563990267639903)</f>
        <v>0</v>
      </c>
      <c r="AQ63" s="39" t="s">
        <v>7</v>
      </c>
      <c r="AV63" s="38">
        <f>AW63+AX63</f>
        <v>0</v>
      </c>
      <c r="AW63" s="38">
        <f>H63*AO63</f>
        <v>0</v>
      </c>
      <c r="AX63" s="38">
        <f>H63*AP63</f>
        <v>0</v>
      </c>
      <c r="AY63" s="41" t="s">
        <v>437</v>
      </c>
      <c r="AZ63" s="41" t="s">
        <v>462</v>
      </c>
      <c r="BA63" s="37" t="s">
        <v>471</v>
      </c>
      <c r="BC63" s="38">
        <f>AW63+AX63</f>
        <v>0</v>
      </c>
      <c r="BD63" s="38">
        <f>I63/(100-BE63)*100</f>
        <v>0</v>
      </c>
      <c r="BE63" s="38">
        <v>0</v>
      </c>
      <c r="BF63" s="38">
        <f>63</f>
        <v>63</v>
      </c>
      <c r="BH63" s="23">
        <f>H63*AO63</f>
        <v>0</v>
      </c>
      <c r="BI63" s="23">
        <f>H63*AP63</f>
        <v>0</v>
      </c>
      <c r="BJ63" s="23">
        <f>H63*I63</f>
        <v>0</v>
      </c>
      <c r="BK63" s="23" t="s">
        <v>476</v>
      </c>
      <c r="BL63" s="38">
        <v>62</v>
      </c>
    </row>
    <row r="64" spans="1:14" ht="12.75">
      <c r="A64" s="6"/>
      <c r="B64" s="16" t="s">
        <v>87</v>
      </c>
      <c r="C64" s="163" t="s">
        <v>238</v>
      </c>
      <c r="D64" s="164"/>
      <c r="E64" s="164"/>
      <c r="F64" s="164"/>
      <c r="G64" s="164"/>
      <c r="H64" s="164"/>
      <c r="I64" s="164"/>
      <c r="J64" s="164"/>
      <c r="K64" s="164"/>
      <c r="L64" s="164"/>
      <c r="M64" s="165"/>
      <c r="N64" s="6"/>
    </row>
    <row r="65" spans="1:64" ht="12.75">
      <c r="A65" s="5" t="s">
        <v>24</v>
      </c>
      <c r="B65" s="15" t="s">
        <v>105</v>
      </c>
      <c r="C65" s="161" t="s">
        <v>239</v>
      </c>
      <c r="D65" s="162"/>
      <c r="E65" s="162"/>
      <c r="F65" s="162"/>
      <c r="G65" s="15" t="s">
        <v>396</v>
      </c>
      <c r="H65" s="23">
        <v>476.44</v>
      </c>
      <c r="I65" s="23">
        <v>0</v>
      </c>
      <c r="J65" s="23">
        <f>H65*AO65</f>
        <v>0</v>
      </c>
      <c r="K65" s="23">
        <f>H65*AP65</f>
        <v>0</v>
      </c>
      <c r="L65" s="23">
        <f>H65*I65</f>
        <v>0</v>
      </c>
      <c r="M65" s="34" t="s">
        <v>420</v>
      </c>
      <c r="N65" s="6"/>
      <c r="Z65" s="38">
        <f>IF(AQ65="5",BJ65,0)</f>
        <v>0</v>
      </c>
      <c r="AB65" s="38">
        <f>IF(AQ65="1",BH65,0)</f>
        <v>0</v>
      </c>
      <c r="AC65" s="38">
        <f>IF(AQ65="1",BI65,0)</f>
        <v>0</v>
      </c>
      <c r="AD65" s="38">
        <f>IF(AQ65="7",BH65,0)</f>
        <v>0</v>
      </c>
      <c r="AE65" s="38">
        <f>IF(AQ65="7",BI65,0)</f>
        <v>0</v>
      </c>
      <c r="AF65" s="38">
        <f>IF(AQ65="2",BH65,0)</f>
        <v>0</v>
      </c>
      <c r="AG65" s="38">
        <f>IF(AQ65="2",BI65,0)</f>
        <v>0</v>
      </c>
      <c r="AH65" s="38">
        <f>IF(AQ65="0",BJ65,0)</f>
        <v>0</v>
      </c>
      <c r="AI65" s="37"/>
      <c r="AJ65" s="23">
        <f>IF(AN65=0,L65,0)</f>
        <v>0</v>
      </c>
      <c r="AK65" s="23">
        <f>IF(AN65=15,L65,0)</f>
        <v>0</v>
      </c>
      <c r="AL65" s="23">
        <f>IF(AN65=21,L65,0)</f>
        <v>0</v>
      </c>
      <c r="AN65" s="38">
        <v>21</v>
      </c>
      <c r="AO65" s="38">
        <f>I65*0</f>
        <v>0</v>
      </c>
      <c r="AP65" s="38">
        <f>I65*(1-0)</f>
        <v>0</v>
      </c>
      <c r="AQ65" s="39" t="s">
        <v>7</v>
      </c>
      <c r="AV65" s="38">
        <f>AW65+AX65</f>
        <v>0</v>
      </c>
      <c r="AW65" s="38">
        <f>H65*AO65</f>
        <v>0</v>
      </c>
      <c r="AX65" s="38">
        <f>H65*AP65</f>
        <v>0</v>
      </c>
      <c r="AY65" s="41" t="s">
        <v>437</v>
      </c>
      <c r="AZ65" s="41" t="s">
        <v>462</v>
      </c>
      <c r="BA65" s="37" t="s">
        <v>471</v>
      </c>
      <c r="BC65" s="38">
        <f>AW65+AX65</f>
        <v>0</v>
      </c>
      <c r="BD65" s="38">
        <f>I65/(100-BE65)*100</f>
        <v>0</v>
      </c>
      <c r="BE65" s="38">
        <v>0</v>
      </c>
      <c r="BF65" s="38">
        <f>65</f>
        <v>65</v>
      </c>
      <c r="BH65" s="23">
        <f>H65*AO65</f>
        <v>0</v>
      </c>
      <c r="BI65" s="23">
        <f>H65*AP65</f>
        <v>0</v>
      </c>
      <c r="BJ65" s="23">
        <f>H65*I65</f>
        <v>0</v>
      </c>
      <c r="BK65" s="23" t="s">
        <v>476</v>
      </c>
      <c r="BL65" s="38">
        <v>62</v>
      </c>
    </row>
    <row r="66" spans="1:14" ht="12.75">
      <c r="A66" s="6"/>
      <c r="B66" s="16" t="s">
        <v>87</v>
      </c>
      <c r="C66" s="163" t="s">
        <v>240</v>
      </c>
      <c r="D66" s="164"/>
      <c r="E66" s="164"/>
      <c r="F66" s="164"/>
      <c r="G66" s="164"/>
      <c r="H66" s="164"/>
      <c r="I66" s="164"/>
      <c r="J66" s="164"/>
      <c r="K66" s="164"/>
      <c r="L66" s="164"/>
      <c r="M66" s="165"/>
      <c r="N66" s="6"/>
    </row>
    <row r="67" spans="1:14" ht="25.5" customHeight="1">
      <c r="A67" s="6"/>
      <c r="B67" s="17" t="s">
        <v>84</v>
      </c>
      <c r="C67" s="166" t="s">
        <v>241</v>
      </c>
      <c r="D67" s="167"/>
      <c r="E67" s="167"/>
      <c r="F67" s="167"/>
      <c r="G67" s="167"/>
      <c r="H67" s="167"/>
      <c r="I67" s="167"/>
      <c r="J67" s="167"/>
      <c r="K67" s="167"/>
      <c r="L67" s="167"/>
      <c r="M67" s="168"/>
      <c r="N67" s="6"/>
    </row>
    <row r="68" spans="1:64" ht="12.75">
      <c r="A68" s="5" t="s">
        <v>25</v>
      </c>
      <c r="B68" s="15" t="s">
        <v>106</v>
      </c>
      <c r="C68" s="161" t="s">
        <v>242</v>
      </c>
      <c r="D68" s="162"/>
      <c r="E68" s="162"/>
      <c r="F68" s="162"/>
      <c r="G68" s="15" t="s">
        <v>396</v>
      </c>
      <c r="H68" s="23">
        <v>72.5</v>
      </c>
      <c r="I68" s="23">
        <v>0</v>
      </c>
      <c r="J68" s="23">
        <f>H68*AO68</f>
        <v>0</v>
      </c>
      <c r="K68" s="23">
        <f>H68*AP68</f>
        <v>0</v>
      </c>
      <c r="L68" s="23">
        <f>H68*I68</f>
        <v>0</v>
      </c>
      <c r="M68" s="34" t="s">
        <v>420</v>
      </c>
      <c r="N68" s="6"/>
      <c r="Z68" s="38">
        <f>IF(AQ68="5",BJ68,0)</f>
        <v>0</v>
      </c>
      <c r="AB68" s="38">
        <f>IF(AQ68="1",BH68,0)</f>
        <v>0</v>
      </c>
      <c r="AC68" s="38">
        <f>IF(AQ68="1",BI68,0)</f>
        <v>0</v>
      </c>
      <c r="AD68" s="38">
        <f>IF(AQ68="7",BH68,0)</f>
        <v>0</v>
      </c>
      <c r="AE68" s="38">
        <f>IF(AQ68="7",BI68,0)</f>
        <v>0</v>
      </c>
      <c r="AF68" s="38">
        <f>IF(AQ68="2",BH68,0)</f>
        <v>0</v>
      </c>
      <c r="AG68" s="38">
        <f>IF(AQ68="2",BI68,0)</f>
        <v>0</v>
      </c>
      <c r="AH68" s="38">
        <f>IF(AQ68="0",BJ68,0)</f>
        <v>0</v>
      </c>
      <c r="AI68" s="37"/>
      <c r="AJ68" s="23">
        <f>IF(AN68=0,L68,0)</f>
        <v>0</v>
      </c>
      <c r="AK68" s="23">
        <f>IF(AN68=15,L68,0)</f>
        <v>0</v>
      </c>
      <c r="AL68" s="23">
        <f>IF(AN68=21,L68,0)</f>
        <v>0</v>
      </c>
      <c r="AN68" s="38">
        <v>21</v>
      </c>
      <c r="AO68" s="38">
        <f>I68*0</f>
        <v>0</v>
      </c>
      <c r="AP68" s="38">
        <f>I68*(1-0)</f>
        <v>0</v>
      </c>
      <c r="AQ68" s="39" t="s">
        <v>7</v>
      </c>
      <c r="AV68" s="38">
        <f>AW68+AX68</f>
        <v>0</v>
      </c>
      <c r="AW68" s="38">
        <f>H68*AO68</f>
        <v>0</v>
      </c>
      <c r="AX68" s="38">
        <f>H68*AP68</f>
        <v>0</v>
      </c>
      <c r="AY68" s="41" t="s">
        <v>437</v>
      </c>
      <c r="AZ68" s="41" t="s">
        <v>462</v>
      </c>
      <c r="BA68" s="37" t="s">
        <v>471</v>
      </c>
      <c r="BC68" s="38">
        <f>AW68+AX68</f>
        <v>0</v>
      </c>
      <c r="BD68" s="38">
        <f>I68/(100-BE68)*100</f>
        <v>0</v>
      </c>
      <c r="BE68" s="38">
        <v>0</v>
      </c>
      <c r="BF68" s="38">
        <f>68</f>
        <v>68</v>
      </c>
      <c r="BH68" s="23">
        <f>H68*AO68</f>
        <v>0</v>
      </c>
      <c r="BI68" s="23">
        <f>H68*AP68</f>
        <v>0</v>
      </c>
      <c r="BJ68" s="23">
        <f>H68*I68</f>
        <v>0</v>
      </c>
      <c r="BK68" s="23" t="s">
        <v>476</v>
      </c>
      <c r="BL68" s="38">
        <v>62</v>
      </c>
    </row>
    <row r="69" spans="1:14" ht="12.75">
      <c r="A69" s="6"/>
      <c r="B69" s="16" t="s">
        <v>87</v>
      </c>
      <c r="C69" s="163" t="s">
        <v>240</v>
      </c>
      <c r="D69" s="164"/>
      <c r="E69" s="164"/>
      <c r="F69" s="164"/>
      <c r="G69" s="164"/>
      <c r="H69" s="164"/>
      <c r="I69" s="164"/>
      <c r="J69" s="164"/>
      <c r="K69" s="164"/>
      <c r="L69" s="164"/>
      <c r="M69" s="165"/>
      <c r="N69" s="6"/>
    </row>
    <row r="70" spans="1:14" ht="12.75">
      <c r="A70" s="6"/>
      <c r="B70" s="17" t="s">
        <v>84</v>
      </c>
      <c r="C70" s="166" t="s">
        <v>243</v>
      </c>
      <c r="D70" s="167"/>
      <c r="E70" s="167"/>
      <c r="F70" s="167"/>
      <c r="G70" s="167"/>
      <c r="H70" s="167"/>
      <c r="I70" s="167"/>
      <c r="J70" s="167"/>
      <c r="K70" s="167"/>
      <c r="L70" s="167"/>
      <c r="M70" s="168"/>
      <c r="N70" s="6"/>
    </row>
    <row r="71" spans="1:64" ht="12.75">
      <c r="A71" s="5" t="s">
        <v>26</v>
      </c>
      <c r="B71" s="15" t="s">
        <v>104</v>
      </c>
      <c r="C71" s="161" t="s">
        <v>237</v>
      </c>
      <c r="D71" s="162"/>
      <c r="E71" s="162"/>
      <c r="F71" s="162"/>
      <c r="G71" s="15" t="s">
        <v>394</v>
      </c>
      <c r="H71" s="23">
        <v>272.4</v>
      </c>
      <c r="I71" s="23">
        <v>0</v>
      </c>
      <c r="J71" s="23">
        <f>H71*AO71</f>
        <v>0</v>
      </c>
      <c r="K71" s="23">
        <f>H71*AP71</f>
        <v>0</v>
      </c>
      <c r="L71" s="23">
        <f>H71*I71</f>
        <v>0</v>
      </c>
      <c r="M71" s="34" t="s">
        <v>420</v>
      </c>
      <c r="N71" s="6"/>
      <c r="Z71" s="38">
        <f>IF(AQ71="5",BJ71,0)</f>
        <v>0</v>
      </c>
      <c r="AB71" s="38">
        <f>IF(AQ71="1",BH71,0)</f>
        <v>0</v>
      </c>
      <c r="AC71" s="38">
        <f>IF(AQ71="1",BI71,0)</f>
        <v>0</v>
      </c>
      <c r="AD71" s="38">
        <f>IF(AQ71="7",BH71,0)</f>
        <v>0</v>
      </c>
      <c r="AE71" s="38">
        <f>IF(AQ71="7",BI71,0)</f>
        <v>0</v>
      </c>
      <c r="AF71" s="38">
        <f>IF(AQ71="2",BH71,0)</f>
        <v>0</v>
      </c>
      <c r="AG71" s="38">
        <f>IF(AQ71="2",BI71,0)</f>
        <v>0</v>
      </c>
      <c r="AH71" s="38">
        <f>IF(AQ71="0",BJ71,0)</f>
        <v>0</v>
      </c>
      <c r="AI71" s="37"/>
      <c r="AJ71" s="23">
        <f>IF(AN71=0,L71,0)</f>
        <v>0</v>
      </c>
      <c r="AK71" s="23">
        <f>IF(AN71=15,L71,0)</f>
        <v>0</v>
      </c>
      <c r="AL71" s="23">
        <f>IF(AN71=21,L71,0)</f>
        <v>0</v>
      </c>
      <c r="AN71" s="38">
        <v>21</v>
      </c>
      <c r="AO71" s="38">
        <f>I71*0.563990267639903</f>
        <v>0</v>
      </c>
      <c r="AP71" s="38">
        <f>I71*(1-0.563990267639903)</f>
        <v>0</v>
      </c>
      <c r="AQ71" s="39" t="s">
        <v>7</v>
      </c>
      <c r="AV71" s="38">
        <f>AW71+AX71</f>
        <v>0</v>
      </c>
      <c r="AW71" s="38">
        <f>H71*AO71</f>
        <v>0</v>
      </c>
      <c r="AX71" s="38">
        <f>H71*AP71</f>
        <v>0</v>
      </c>
      <c r="AY71" s="41" t="s">
        <v>437</v>
      </c>
      <c r="AZ71" s="41" t="s">
        <v>462</v>
      </c>
      <c r="BA71" s="37" t="s">
        <v>471</v>
      </c>
      <c r="BC71" s="38">
        <f>AW71+AX71</f>
        <v>0</v>
      </c>
      <c r="BD71" s="38">
        <f>I71/(100-BE71)*100</f>
        <v>0</v>
      </c>
      <c r="BE71" s="38">
        <v>0</v>
      </c>
      <c r="BF71" s="38">
        <f>71</f>
        <v>71</v>
      </c>
      <c r="BH71" s="23">
        <f>H71*AO71</f>
        <v>0</v>
      </c>
      <c r="BI71" s="23">
        <f>H71*AP71</f>
        <v>0</v>
      </c>
      <c r="BJ71" s="23">
        <f>H71*I71</f>
        <v>0</v>
      </c>
      <c r="BK71" s="23" t="s">
        <v>476</v>
      </c>
      <c r="BL71" s="38">
        <v>62</v>
      </c>
    </row>
    <row r="72" spans="1:14" ht="12.75">
      <c r="A72" s="6"/>
      <c r="B72" s="16" t="s">
        <v>87</v>
      </c>
      <c r="C72" s="163" t="s">
        <v>238</v>
      </c>
      <c r="D72" s="164"/>
      <c r="E72" s="164"/>
      <c r="F72" s="164"/>
      <c r="G72" s="164"/>
      <c r="H72" s="164"/>
      <c r="I72" s="164"/>
      <c r="J72" s="164"/>
      <c r="K72" s="164"/>
      <c r="L72" s="164"/>
      <c r="M72" s="165"/>
      <c r="N72" s="6"/>
    </row>
    <row r="73" spans="1:14" ht="12.75">
      <c r="A73" s="6"/>
      <c r="B73" s="17" t="s">
        <v>84</v>
      </c>
      <c r="C73" s="166" t="s">
        <v>244</v>
      </c>
      <c r="D73" s="167"/>
      <c r="E73" s="167"/>
      <c r="F73" s="167"/>
      <c r="G73" s="167"/>
      <c r="H73" s="167"/>
      <c r="I73" s="167"/>
      <c r="J73" s="167"/>
      <c r="K73" s="167"/>
      <c r="L73" s="167"/>
      <c r="M73" s="168"/>
      <c r="N73" s="6"/>
    </row>
    <row r="74" spans="1:64" ht="12.75">
      <c r="A74" s="5" t="s">
        <v>27</v>
      </c>
      <c r="B74" s="15" t="s">
        <v>107</v>
      </c>
      <c r="C74" s="161" t="s">
        <v>245</v>
      </c>
      <c r="D74" s="162"/>
      <c r="E74" s="162"/>
      <c r="F74" s="162"/>
      <c r="G74" s="15" t="s">
        <v>394</v>
      </c>
      <c r="H74" s="23">
        <v>978.35</v>
      </c>
      <c r="I74" s="23">
        <v>0</v>
      </c>
      <c r="J74" s="23">
        <f>H74*AO74</f>
        <v>0</v>
      </c>
      <c r="K74" s="23">
        <f>H74*AP74</f>
        <v>0</v>
      </c>
      <c r="L74" s="23">
        <f>H74*I74</f>
        <v>0</v>
      </c>
      <c r="M74" s="34" t="s">
        <v>420</v>
      </c>
      <c r="N74" s="6"/>
      <c r="Z74" s="38">
        <f>IF(AQ74="5",BJ74,0)</f>
        <v>0</v>
      </c>
      <c r="AB74" s="38">
        <f>IF(AQ74="1",BH74,0)</f>
        <v>0</v>
      </c>
      <c r="AC74" s="38">
        <f>IF(AQ74="1",BI74,0)</f>
        <v>0</v>
      </c>
      <c r="AD74" s="38">
        <f>IF(AQ74="7",BH74,0)</f>
        <v>0</v>
      </c>
      <c r="AE74" s="38">
        <f>IF(AQ74="7",BI74,0)</f>
        <v>0</v>
      </c>
      <c r="AF74" s="38">
        <f>IF(AQ74="2",BH74,0)</f>
        <v>0</v>
      </c>
      <c r="AG74" s="38">
        <f>IF(AQ74="2",BI74,0)</f>
        <v>0</v>
      </c>
      <c r="AH74" s="38">
        <f>IF(AQ74="0",BJ74,0)</f>
        <v>0</v>
      </c>
      <c r="AI74" s="37"/>
      <c r="AJ74" s="23">
        <f>IF(AN74=0,L74,0)</f>
        <v>0</v>
      </c>
      <c r="AK74" s="23">
        <f>IF(AN74=15,L74,0)</f>
        <v>0</v>
      </c>
      <c r="AL74" s="23">
        <f>IF(AN74=21,L74,0)</f>
        <v>0</v>
      </c>
      <c r="AN74" s="38">
        <v>21</v>
      </c>
      <c r="AO74" s="38">
        <f>I74*0.265865574913464</f>
        <v>0</v>
      </c>
      <c r="AP74" s="38">
        <f>I74*(1-0.265865574913464)</f>
        <v>0</v>
      </c>
      <c r="AQ74" s="39" t="s">
        <v>7</v>
      </c>
      <c r="AV74" s="38">
        <f>AW74+AX74</f>
        <v>0</v>
      </c>
      <c r="AW74" s="38">
        <f>H74*AO74</f>
        <v>0</v>
      </c>
      <c r="AX74" s="38">
        <f>H74*AP74</f>
        <v>0</v>
      </c>
      <c r="AY74" s="41" t="s">
        <v>437</v>
      </c>
      <c r="AZ74" s="41" t="s">
        <v>462</v>
      </c>
      <c r="BA74" s="37" t="s">
        <v>471</v>
      </c>
      <c r="BC74" s="38">
        <f>AW74+AX74</f>
        <v>0</v>
      </c>
      <c r="BD74" s="38">
        <f>I74/(100-BE74)*100</f>
        <v>0</v>
      </c>
      <c r="BE74" s="38">
        <v>0</v>
      </c>
      <c r="BF74" s="38">
        <f>74</f>
        <v>74</v>
      </c>
      <c r="BH74" s="23">
        <f>H74*AO74</f>
        <v>0</v>
      </c>
      <c r="BI74" s="23">
        <f>H74*AP74</f>
        <v>0</v>
      </c>
      <c r="BJ74" s="23">
        <f>H74*I74</f>
        <v>0</v>
      </c>
      <c r="BK74" s="23" t="s">
        <v>476</v>
      </c>
      <c r="BL74" s="38">
        <v>62</v>
      </c>
    </row>
    <row r="75" spans="1:14" ht="12.75">
      <c r="A75" s="6"/>
      <c r="B75" s="16" t="s">
        <v>90</v>
      </c>
      <c r="C75" s="169" t="s">
        <v>246</v>
      </c>
      <c r="D75" s="170"/>
      <c r="E75" s="170"/>
      <c r="F75" s="170"/>
      <c r="G75" s="170"/>
      <c r="H75" s="170"/>
      <c r="I75" s="170"/>
      <c r="J75" s="170"/>
      <c r="K75" s="170"/>
      <c r="L75" s="170"/>
      <c r="M75" s="171"/>
      <c r="N75" s="6"/>
    </row>
    <row r="76" spans="1:14" ht="12.75">
      <c r="A76" s="6"/>
      <c r="B76" s="16" t="s">
        <v>87</v>
      </c>
      <c r="C76" s="163" t="s">
        <v>247</v>
      </c>
      <c r="D76" s="164"/>
      <c r="E76" s="164"/>
      <c r="F76" s="164"/>
      <c r="G76" s="164"/>
      <c r="H76" s="164"/>
      <c r="I76" s="164"/>
      <c r="J76" s="164"/>
      <c r="K76" s="164"/>
      <c r="L76" s="164"/>
      <c r="M76" s="165"/>
      <c r="N76" s="6"/>
    </row>
    <row r="77" spans="1:64" ht="12.75">
      <c r="A77" s="5" t="s">
        <v>28</v>
      </c>
      <c r="B77" s="15" t="s">
        <v>108</v>
      </c>
      <c r="C77" s="161" t="s">
        <v>248</v>
      </c>
      <c r="D77" s="162"/>
      <c r="E77" s="162"/>
      <c r="F77" s="162"/>
      <c r="G77" s="15" t="s">
        <v>394</v>
      </c>
      <c r="H77" s="23">
        <v>126.83</v>
      </c>
      <c r="I77" s="23">
        <v>0</v>
      </c>
      <c r="J77" s="23">
        <f>H77*AO77</f>
        <v>0</v>
      </c>
      <c r="K77" s="23">
        <f>H77*AP77</f>
        <v>0</v>
      </c>
      <c r="L77" s="23">
        <f>H77*I77</f>
        <v>0</v>
      </c>
      <c r="M77" s="34" t="s">
        <v>420</v>
      </c>
      <c r="N77" s="6"/>
      <c r="Z77" s="38">
        <f>IF(AQ77="5",BJ77,0)</f>
        <v>0</v>
      </c>
      <c r="AB77" s="38">
        <f>IF(AQ77="1",BH77,0)</f>
        <v>0</v>
      </c>
      <c r="AC77" s="38">
        <f>IF(AQ77="1",BI77,0)</f>
        <v>0</v>
      </c>
      <c r="AD77" s="38">
        <f>IF(AQ77="7",BH77,0)</f>
        <v>0</v>
      </c>
      <c r="AE77" s="38">
        <f>IF(AQ77="7",BI77,0)</f>
        <v>0</v>
      </c>
      <c r="AF77" s="38">
        <f>IF(AQ77="2",BH77,0)</f>
        <v>0</v>
      </c>
      <c r="AG77" s="38">
        <f>IF(AQ77="2",BI77,0)</f>
        <v>0</v>
      </c>
      <c r="AH77" s="38">
        <f>IF(AQ77="0",BJ77,0)</f>
        <v>0</v>
      </c>
      <c r="AI77" s="37"/>
      <c r="AJ77" s="23">
        <f>IF(AN77=0,L77,0)</f>
        <v>0</v>
      </c>
      <c r="AK77" s="23">
        <f>IF(AN77=15,L77,0)</f>
        <v>0</v>
      </c>
      <c r="AL77" s="23">
        <f>IF(AN77=21,L77,0)</f>
        <v>0</v>
      </c>
      <c r="AN77" s="38">
        <v>21</v>
      </c>
      <c r="AO77" s="38">
        <f>I77*0</f>
        <v>0</v>
      </c>
      <c r="AP77" s="38">
        <f>I77*(1-0)</f>
        <v>0</v>
      </c>
      <c r="AQ77" s="39" t="s">
        <v>7</v>
      </c>
      <c r="AV77" s="38">
        <f>AW77+AX77</f>
        <v>0</v>
      </c>
      <c r="AW77" s="38">
        <f>H77*AO77</f>
        <v>0</v>
      </c>
      <c r="AX77" s="38">
        <f>H77*AP77</f>
        <v>0</v>
      </c>
      <c r="AY77" s="41" t="s">
        <v>437</v>
      </c>
      <c r="AZ77" s="41" t="s">
        <v>462</v>
      </c>
      <c r="BA77" s="37" t="s">
        <v>471</v>
      </c>
      <c r="BC77" s="38">
        <f>AW77+AX77</f>
        <v>0</v>
      </c>
      <c r="BD77" s="38">
        <f>I77/(100-BE77)*100</f>
        <v>0</v>
      </c>
      <c r="BE77" s="38">
        <v>0</v>
      </c>
      <c r="BF77" s="38">
        <f>77</f>
        <v>77</v>
      </c>
      <c r="BH77" s="23">
        <f>H77*AO77</f>
        <v>0</v>
      </c>
      <c r="BI77" s="23">
        <f>H77*AP77</f>
        <v>0</v>
      </c>
      <c r="BJ77" s="23">
        <f>H77*I77</f>
        <v>0</v>
      </c>
      <c r="BK77" s="23" t="s">
        <v>476</v>
      </c>
      <c r="BL77" s="38">
        <v>62</v>
      </c>
    </row>
    <row r="78" spans="1:14" ht="25.5" customHeight="1">
      <c r="A78" s="6"/>
      <c r="B78" s="17" t="s">
        <v>84</v>
      </c>
      <c r="C78" s="166" t="s">
        <v>249</v>
      </c>
      <c r="D78" s="167"/>
      <c r="E78" s="167"/>
      <c r="F78" s="167"/>
      <c r="G78" s="167"/>
      <c r="H78" s="167"/>
      <c r="I78" s="167"/>
      <c r="J78" s="167"/>
      <c r="K78" s="167"/>
      <c r="L78" s="167"/>
      <c r="M78" s="168"/>
      <c r="N78" s="6"/>
    </row>
    <row r="79" spans="1:64" ht="12.75">
      <c r="A79" s="63" t="s">
        <v>29</v>
      </c>
      <c r="B79" s="63" t="s">
        <v>109</v>
      </c>
      <c r="C79" s="172" t="s">
        <v>250</v>
      </c>
      <c r="D79" s="162"/>
      <c r="E79" s="162"/>
      <c r="F79" s="173"/>
      <c r="G79" s="63" t="s">
        <v>394</v>
      </c>
      <c r="H79" s="64">
        <v>978.35</v>
      </c>
      <c r="I79" s="64">
        <v>0</v>
      </c>
      <c r="J79" s="64">
        <f>H79*AO79</f>
        <v>0</v>
      </c>
      <c r="K79" s="64">
        <f>H79*AP79</f>
        <v>0</v>
      </c>
      <c r="L79" s="64">
        <f>H79*I79</f>
        <v>0</v>
      </c>
      <c r="M79" s="65" t="s">
        <v>420</v>
      </c>
      <c r="N79" s="66"/>
      <c r="Z79" s="38">
        <f>IF(AQ79="5",BJ79,0)</f>
        <v>0</v>
      </c>
      <c r="AB79" s="38">
        <f>IF(AQ79="1",BH79,0)</f>
        <v>0</v>
      </c>
      <c r="AC79" s="38">
        <f>IF(AQ79="1",BI79,0)</f>
        <v>0</v>
      </c>
      <c r="AD79" s="38">
        <f>IF(AQ79="7",BH79,0)</f>
        <v>0</v>
      </c>
      <c r="AE79" s="38">
        <f>IF(AQ79="7",BI79,0)</f>
        <v>0</v>
      </c>
      <c r="AF79" s="38">
        <f>IF(AQ79="2",BH79,0)</f>
        <v>0</v>
      </c>
      <c r="AG79" s="38">
        <f>IF(AQ79="2",BI79,0)</f>
        <v>0</v>
      </c>
      <c r="AH79" s="38">
        <f>IF(AQ79="0",BJ79,0)</f>
        <v>0</v>
      </c>
      <c r="AI79" s="37"/>
      <c r="AJ79" s="23">
        <f>IF(AN79=0,L79,0)</f>
        <v>0</v>
      </c>
      <c r="AK79" s="23">
        <f>IF(AN79=15,L79,0)</f>
        <v>0</v>
      </c>
      <c r="AL79" s="23">
        <f>IF(AN79=21,L79,0)</f>
        <v>0</v>
      </c>
      <c r="AN79" s="38">
        <v>21</v>
      </c>
      <c r="AO79" s="38">
        <f>I79*0.600859493980893</f>
        <v>0</v>
      </c>
      <c r="AP79" s="38">
        <f>I79*(1-0.600859493980893)</f>
        <v>0</v>
      </c>
      <c r="AQ79" s="39" t="s">
        <v>7</v>
      </c>
      <c r="AV79" s="38">
        <f>AW79+AX79</f>
        <v>0</v>
      </c>
      <c r="AW79" s="38">
        <f>H79*AO79</f>
        <v>0</v>
      </c>
      <c r="AX79" s="38">
        <f>H79*AP79</f>
        <v>0</v>
      </c>
      <c r="AY79" s="41" t="s">
        <v>437</v>
      </c>
      <c r="AZ79" s="41" t="s">
        <v>462</v>
      </c>
      <c r="BA79" s="37" t="s">
        <v>471</v>
      </c>
      <c r="BC79" s="38">
        <f>AW79+AX79</f>
        <v>0</v>
      </c>
      <c r="BD79" s="38">
        <f>I79/(100-BE79)*100</f>
        <v>0</v>
      </c>
      <c r="BE79" s="38">
        <v>0</v>
      </c>
      <c r="BF79" s="38">
        <f>79</f>
        <v>79</v>
      </c>
      <c r="BH79" s="23">
        <f>H79*AO79</f>
        <v>0</v>
      </c>
      <c r="BI79" s="23">
        <f>H79*AP79</f>
        <v>0</v>
      </c>
      <c r="BJ79" s="23">
        <f>H79*I79</f>
        <v>0</v>
      </c>
      <c r="BK79" s="23" t="s">
        <v>476</v>
      </c>
      <c r="BL79" s="38">
        <v>62</v>
      </c>
    </row>
    <row r="80" spans="1:14" ht="12.75">
      <c r="A80" s="6"/>
      <c r="B80" s="16" t="s">
        <v>90</v>
      </c>
      <c r="C80" s="169" t="s">
        <v>251</v>
      </c>
      <c r="D80" s="170"/>
      <c r="E80" s="170"/>
      <c r="F80" s="170"/>
      <c r="G80" s="170"/>
      <c r="H80" s="170"/>
      <c r="I80" s="170"/>
      <c r="J80" s="170"/>
      <c r="K80" s="170"/>
      <c r="L80" s="170"/>
      <c r="M80" s="171"/>
      <c r="N80" s="6"/>
    </row>
    <row r="81" spans="1:14" ht="12.75">
      <c r="A81" s="6"/>
      <c r="B81" s="16" t="s">
        <v>87</v>
      </c>
      <c r="C81" s="163" t="s">
        <v>252</v>
      </c>
      <c r="D81" s="164"/>
      <c r="E81" s="164"/>
      <c r="F81" s="164"/>
      <c r="G81" s="164"/>
      <c r="H81" s="164"/>
      <c r="I81" s="164"/>
      <c r="J81" s="164"/>
      <c r="K81" s="164"/>
      <c r="L81" s="164"/>
      <c r="M81" s="165"/>
      <c r="N81" s="6"/>
    </row>
    <row r="82" spans="1:47" ht="12.75">
      <c r="A82" s="4"/>
      <c r="B82" s="14" t="s">
        <v>70</v>
      </c>
      <c r="C82" s="159" t="s">
        <v>253</v>
      </c>
      <c r="D82" s="160"/>
      <c r="E82" s="160"/>
      <c r="F82" s="160"/>
      <c r="G82" s="21" t="s">
        <v>6</v>
      </c>
      <c r="H82" s="21" t="s">
        <v>6</v>
      </c>
      <c r="I82" s="21" t="s">
        <v>6</v>
      </c>
      <c r="J82" s="44">
        <f>SUM(J83:J83)</f>
        <v>0</v>
      </c>
      <c r="K82" s="44">
        <f>SUM(K83:K83)</f>
        <v>0</v>
      </c>
      <c r="L82" s="44">
        <f>SUM(L83:L83)</f>
        <v>0</v>
      </c>
      <c r="M82" s="33"/>
      <c r="N82" s="6"/>
      <c r="AI82" s="37"/>
      <c r="AS82" s="44">
        <f>SUM(AJ83:AJ83)</f>
        <v>0</v>
      </c>
      <c r="AT82" s="44">
        <f>SUM(AK83:AK83)</f>
        <v>0</v>
      </c>
      <c r="AU82" s="44">
        <f>SUM(AL83:AL83)</f>
        <v>0</v>
      </c>
    </row>
    <row r="83" spans="1:64" ht="12.75">
      <c r="A83" s="5" t="s">
        <v>30</v>
      </c>
      <c r="B83" s="15" t="s">
        <v>110</v>
      </c>
      <c r="C83" s="161" t="s">
        <v>254</v>
      </c>
      <c r="D83" s="162"/>
      <c r="E83" s="162"/>
      <c r="F83" s="162"/>
      <c r="G83" s="15" t="s">
        <v>397</v>
      </c>
      <c r="H83" s="23">
        <v>1</v>
      </c>
      <c r="I83" s="23">
        <v>0</v>
      </c>
      <c r="J83" s="23">
        <f>H83*AO83</f>
        <v>0</v>
      </c>
      <c r="K83" s="23">
        <f>H83*AP83</f>
        <v>0</v>
      </c>
      <c r="L83" s="23">
        <f>H83*I83</f>
        <v>0</v>
      </c>
      <c r="M83" s="34" t="s">
        <v>420</v>
      </c>
      <c r="N83" s="6"/>
      <c r="Z83" s="38">
        <f>IF(AQ83="5",BJ83,0)</f>
        <v>0</v>
      </c>
      <c r="AB83" s="38">
        <f>IF(AQ83="1",BH83,0)</f>
        <v>0</v>
      </c>
      <c r="AC83" s="38">
        <f>IF(AQ83="1",BI83,0)</f>
        <v>0</v>
      </c>
      <c r="AD83" s="38">
        <f>IF(AQ83="7",BH83,0)</f>
        <v>0</v>
      </c>
      <c r="AE83" s="38">
        <f>IF(AQ83="7",BI83,0)</f>
        <v>0</v>
      </c>
      <c r="AF83" s="38">
        <f>IF(AQ83="2",BH83,0)</f>
        <v>0</v>
      </c>
      <c r="AG83" s="38">
        <f>IF(AQ83="2",BI83,0)</f>
        <v>0</v>
      </c>
      <c r="AH83" s="38">
        <f>IF(AQ83="0",BJ83,0)</f>
        <v>0</v>
      </c>
      <c r="AI83" s="37"/>
      <c r="AJ83" s="23">
        <f>IF(AN83=0,L83,0)</f>
        <v>0</v>
      </c>
      <c r="AK83" s="23">
        <f>IF(AN83=15,L83,0)</f>
        <v>0</v>
      </c>
      <c r="AL83" s="23">
        <f>IF(AN83=21,L83,0)</f>
        <v>0</v>
      </c>
      <c r="AN83" s="38">
        <v>21</v>
      </c>
      <c r="AO83" s="38">
        <f>I83*0.619000835285094</f>
        <v>0</v>
      </c>
      <c r="AP83" s="38">
        <f>I83*(1-0.619000835285094)</f>
        <v>0</v>
      </c>
      <c r="AQ83" s="39" t="s">
        <v>7</v>
      </c>
      <c r="AV83" s="38">
        <f>AW83+AX83</f>
        <v>0</v>
      </c>
      <c r="AW83" s="38">
        <f>H83*AO83</f>
        <v>0</v>
      </c>
      <c r="AX83" s="38">
        <f>H83*AP83</f>
        <v>0</v>
      </c>
      <c r="AY83" s="41" t="s">
        <v>438</v>
      </c>
      <c r="AZ83" s="41" t="s">
        <v>462</v>
      </c>
      <c r="BA83" s="37" t="s">
        <v>471</v>
      </c>
      <c r="BC83" s="38">
        <f>AW83+AX83</f>
        <v>0</v>
      </c>
      <c r="BD83" s="38">
        <f>I83/(100-BE83)*100</f>
        <v>0</v>
      </c>
      <c r="BE83" s="38">
        <v>0</v>
      </c>
      <c r="BF83" s="38">
        <f>83</f>
        <v>83</v>
      </c>
      <c r="BH83" s="23">
        <f>H83*AO83</f>
        <v>0</v>
      </c>
      <c r="BI83" s="23">
        <f>H83*AP83</f>
        <v>0</v>
      </c>
      <c r="BJ83" s="23">
        <f>H83*I83</f>
        <v>0</v>
      </c>
      <c r="BK83" s="23" t="s">
        <v>476</v>
      </c>
      <c r="BL83" s="38">
        <v>64</v>
      </c>
    </row>
    <row r="84" spans="1:14" ht="25.5" customHeight="1">
      <c r="A84" s="6"/>
      <c r="B84" s="16" t="s">
        <v>87</v>
      </c>
      <c r="C84" s="163" t="s">
        <v>255</v>
      </c>
      <c r="D84" s="164"/>
      <c r="E84" s="164"/>
      <c r="F84" s="164"/>
      <c r="G84" s="164"/>
      <c r="H84" s="164"/>
      <c r="I84" s="164"/>
      <c r="J84" s="164"/>
      <c r="K84" s="164"/>
      <c r="L84" s="164"/>
      <c r="M84" s="165"/>
      <c r="N84" s="6"/>
    </row>
    <row r="85" spans="1:47" ht="12.75">
      <c r="A85" s="4"/>
      <c r="B85" s="14" t="s">
        <v>111</v>
      </c>
      <c r="C85" s="159" t="s">
        <v>256</v>
      </c>
      <c r="D85" s="160"/>
      <c r="E85" s="160"/>
      <c r="F85" s="160"/>
      <c r="G85" s="21" t="s">
        <v>6</v>
      </c>
      <c r="H85" s="21" t="s">
        <v>6</v>
      </c>
      <c r="I85" s="21" t="s">
        <v>6</v>
      </c>
      <c r="J85" s="44">
        <f>SUM(J86:J88)</f>
        <v>0</v>
      </c>
      <c r="K85" s="44">
        <f>SUM(K86:K88)</f>
        <v>0</v>
      </c>
      <c r="L85" s="44">
        <f>SUM(L86:L88)</f>
        <v>0</v>
      </c>
      <c r="M85" s="33"/>
      <c r="N85" s="6"/>
      <c r="AI85" s="37"/>
      <c r="AS85" s="44">
        <f>SUM(AJ86:AJ88)</f>
        <v>0</v>
      </c>
      <c r="AT85" s="44">
        <f>SUM(AK86:AK88)</f>
        <v>0</v>
      </c>
      <c r="AU85" s="44">
        <f>SUM(AL86:AL88)</f>
        <v>0</v>
      </c>
    </row>
    <row r="86" spans="1:64" ht="12.75">
      <c r="A86" s="5" t="s">
        <v>31</v>
      </c>
      <c r="B86" s="15" t="s">
        <v>112</v>
      </c>
      <c r="C86" s="161" t="s">
        <v>257</v>
      </c>
      <c r="D86" s="162"/>
      <c r="E86" s="162"/>
      <c r="F86" s="162"/>
      <c r="G86" s="15" t="s">
        <v>394</v>
      </c>
      <c r="H86" s="23">
        <v>794.8088</v>
      </c>
      <c r="I86" s="23">
        <v>0</v>
      </c>
      <c r="J86" s="23">
        <f>H86*AO86</f>
        <v>0</v>
      </c>
      <c r="K86" s="23">
        <f>H86*AP86</f>
        <v>0</v>
      </c>
      <c r="L86" s="23">
        <f>H86*I86</f>
        <v>0</v>
      </c>
      <c r="M86" s="34" t="s">
        <v>420</v>
      </c>
      <c r="N86" s="6"/>
      <c r="Z86" s="38">
        <f>IF(AQ86="5",BJ86,0)</f>
        <v>0</v>
      </c>
      <c r="AB86" s="38">
        <f>IF(AQ86="1",BH86,0)</f>
        <v>0</v>
      </c>
      <c r="AC86" s="38">
        <f>IF(AQ86="1",BI86,0)</f>
        <v>0</v>
      </c>
      <c r="AD86" s="38">
        <f>IF(AQ86="7",BH86,0)</f>
        <v>0</v>
      </c>
      <c r="AE86" s="38">
        <f>IF(AQ86="7",BI86,0)</f>
        <v>0</v>
      </c>
      <c r="AF86" s="38">
        <f>IF(AQ86="2",BH86,0)</f>
        <v>0</v>
      </c>
      <c r="AG86" s="38">
        <f>IF(AQ86="2",BI86,0)</f>
        <v>0</v>
      </c>
      <c r="AH86" s="38">
        <f>IF(AQ86="0",BJ86,0)</f>
        <v>0</v>
      </c>
      <c r="AI86" s="37"/>
      <c r="AJ86" s="23">
        <f>IF(AN86=0,L86,0)</f>
        <v>0</v>
      </c>
      <c r="AK86" s="23">
        <f>IF(AN86=15,L86,0)</f>
        <v>0</v>
      </c>
      <c r="AL86" s="23">
        <f>IF(AN86=21,L86,0)</f>
        <v>0</v>
      </c>
      <c r="AN86" s="38">
        <v>21</v>
      </c>
      <c r="AO86" s="38">
        <f>I86*0.381477705783537</f>
        <v>0</v>
      </c>
      <c r="AP86" s="38">
        <f>I86*(1-0.381477705783537)</f>
        <v>0</v>
      </c>
      <c r="AQ86" s="39" t="s">
        <v>13</v>
      </c>
      <c r="AV86" s="38">
        <f>AW86+AX86</f>
        <v>0</v>
      </c>
      <c r="AW86" s="38">
        <f>H86*AO86</f>
        <v>0</v>
      </c>
      <c r="AX86" s="38">
        <f>H86*AP86</f>
        <v>0</v>
      </c>
      <c r="AY86" s="41" t="s">
        <v>439</v>
      </c>
      <c r="AZ86" s="41" t="s">
        <v>463</v>
      </c>
      <c r="BA86" s="37" t="s">
        <v>471</v>
      </c>
      <c r="BC86" s="38">
        <f>AW86+AX86</f>
        <v>0</v>
      </c>
      <c r="BD86" s="38">
        <f>I86/(100-BE86)*100</f>
        <v>0</v>
      </c>
      <c r="BE86" s="38">
        <v>0</v>
      </c>
      <c r="BF86" s="38">
        <f>86</f>
        <v>86</v>
      </c>
      <c r="BH86" s="23">
        <f>H86*AO86</f>
        <v>0</v>
      </c>
      <c r="BI86" s="23">
        <f>H86*AP86</f>
        <v>0</v>
      </c>
      <c r="BJ86" s="23">
        <f>H86*I86</f>
        <v>0</v>
      </c>
      <c r="BK86" s="23" t="s">
        <v>476</v>
      </c>
      <c r="BL86" s="38">
        <v>711</v>
      </c>
    </row>
    <row r="87" spans="1:14" ht="12.75">
      <c r="A87" s="6"/>
      <c r="B87" s="17" t="s">
        <v>84</v>
      </c>
      <c r="C87" s="166" t="s">
        <v>258</v>
      </c>
      <c r="D87" s="167"/>
      <c r="E87" s="167"/>
      <c r="F87" s="167"/>
      <c r="G87" s="167"/>
      <c r="H87" s="167"/>
      <c r="I87" s="167"/>
      <c r="J87" s="167"/>
      <c r="K87" s="167"/>
      <c r="L87" s="167"/>
      <c r="M87" s="168"/>
      <c r="N87" s="6"/>
    </row>
    <row r="88" spans="1:64" ht="12.75">
      <c r="A88" s="5" t="s">
        <v>32</v>
      </c>
      <c r="B88" s="15" t="s">
        <v>112</v>
      </c>
      <c r="C88" s="161" t="s">
        <v>257</v>
      </c>
      <c r="D88" s="162"/>
      <c r="E88" s="162"/>
      <c r="F88" s="162"/>
      <c r="G88" s="15" t="s">
        <v>394</v>
      </c>
      <c r="H88" s="23">
        <v>260.05</v>
      </c>
      <c r="I88" s="23">
        <v>0</v>
      </c>
      <c r="J88" s="23">
        <f>H88*AO88</f>
        <v>0</v>
      </c>
      <c r="K88" s="23">
        <f>H88*AP88</f>
        <v>0</v>
      </c>
      <c r="L88" s="23">
        <f>H88*I88</f>
        <v>0</v>
      </c>
      <c r="M88" s="34" t="s">
        <v>420</v>
      </c>
      <c r="N88" s="6"/>
      <c r="Z88" s="38">
        <f>IF(AQ88="5",BJ88,0)</f>
        <v>0</v>
      </c>
      <c r="AB88" s="38">
        <f>IF(AQ88="1",BH88,0)</f>
        <v>0</v>
      </c>
      <c r="AC88" s="38">
        <f>IF(AQ88="1",BI88,0)</f>
        <v>0</v>
      </c>
      <c r="AD88" s="38">
        <f>IF(AQ88="7",BH88,0)</f>
        <v>0</v>
      </c>
      <c r="AE88" s="38">
        <f>IF(AQ88="7",BI88,0)</f>
        <v>0</v>
      </c>
      <c r="AF88" s="38">
        <f>IF(AQ88="2",BH88,0)</f>
        <v>0</v>
      </c>
      <c r="AG88" s="38">
        <f>IF(AQ88="2",BI88,0)</f>
        <v>0</v>
      </c>
      <c r="AH88" s="38">
        <f>IF(AQ88="0",BJ88,0)</f>
        <v>0</v>
      </c>
      <c r="AI88" s="37"/>
      <c r="AJ88" s="23">
        <f>IF(AN88=0,L88,0)</f>
        <v>0</v>
      </c>
      <c r="AK88" s="23">
        <f>IF(AN88=15,L88,0)</f>
        <v>0</v>
      </c>
      <c r="AL88" s="23">
        <f>IF(AN88=21,L88,0)</f>
        <v>0</v>
      </c>
      <c r="AN88" s="38">
        <v>21</v>
      </c>
      <c r="AO88" s="38">
        <f>I88*0.381477813924099</f>
        <v>0</v>
      </c>
      <c r="AP88" s="38">
        <f>I88*(1-0.381477813924099)</f>
        <v>0</v>
      </c>
      <c r="AQ88" s="39" t="s">
        <v>13</v>
      </c>
      <c r="AV88" s="38">
        <f>AW88+AX88</f>
        <v>0</v>
      </c>
      <c r="AW88" s="38">
        <f>H88*AO88</f>
        <v>0</v>
      </c>
      <c r="AX88" s="38">
        <f>H88*AP88</f>
        <v>0</v>
      </c>
      <c r="AY88" s="41" t="s">
        <v>439</v>
      </c>
      <c r="AZ88" s="41" t="s">
        <v>463</v>
      </c>
      <c r="BA88" s="37" t="s">
        <v>471</v>
      </c>
      <c r="BC88" s="38">
        <f>AW88+AX88</f>
        <v>0</v>
      </c>
      <c r="BD88" s="38">
        <f>I88/(100-BE88)*100</f>
        <v>0</v>
      </c>
      <c r="BE88" s="38">
        <v>0</v>
      </c>
      <c r="BF88" s="38">
        <f>88</f>
        <v>88</v>
      </c>
      <c r="BH88" s="23">
        <f>H88*AO88</f>
        <v>0</v>
      </c>
      <c r="BI88" s="23">
        <f>H88*AP88</f>
        <v>0</v>
      </c>
      <c r="BJ88" s="23">
        <f>H88*I88</f>
        <v>0</v>
      </c>
      <c r="BK88" s="23" t="s">
        <v>476</v>
      </c>
      <c r="BL88" s="38">
        <v>711</v>
      </c>
    </row>
    <row r="89" spans="1:14" ht="12.75">
      <c r="A89" s="6"/>
      <c r="B89" s="17" t="s">
        <v>84</v>
      </c>
      <c r="C89" s="166" t="s">
        <v>259</v>
      </c>
      <c r="D89" s="167"/>
      <c r="E89" s="167"/>
      <c r="F89" s="167"/>
      <c r="G89" s="167"/>
      <c r="H89" s="167"/>
      <c r="I89" s="167"/>
      <c r="J89" s="167"/>
      <c r="K89" s="167"/>
      <c r="L89" s="167"/>
      <c r="M89" s="168"/>
      <c r="N89" s="6"/>
    </row>
    <row r="90" spans="1:47" ht="12.75">
      <c r="A90" s="4"/>
      <c r="B90" s="14" t="s">
        <v>113</v>
      </c>
      <c r="C90" s="159" t="s">
        <v>260</v>
      </c>
      <c r="D90" s="160"/>
      <c r="E90" s="160"/>
      <c r="F90" s="160"/>
      <c r="G90" s="21" t="s">
        <v>6</v>
      </c>
      <c r="H90" s="21" t="s">
        <v>6</v>
      </c>
      <c r="I90" s="21" t="s">
        <v>6</v>
      </c>
      <c r="J90" s="44">
        <f>SUM(J91:J91)</f>
        <v>0</v>
      </c>
      <c r="K90" s="44">
        <f>SUM(K91:K91)</f>
        <v>0</v>
      </c>
      <c r="L90" s="44">
        <f>SUM(L91:L91)</f>
        <v>0</v>
      </c>
      <c r="M90" s="33"/>
      <c r="N90" s="6"/>
      <c r="AI90" s="37"/>
      <c r="AS90" s="44">
        <f>SUM(AJ91:AJ91)</f>
        <v>0</v>
      </c>
      <c r="AT90" s="44">
        <f>SUM(AK91:AK91)</f>
        <v>0</v>
      </c>
      <c r="AU90" s="44">
        <f>SUM(AL91:AL91)</f>
        <v>0</v>
      </c>
    </row>
    <row r="91" spans="1:64" ht="12.75">
      <c r="A91" s="63" t="s">
        <v>33</v>
      </c>
      <c r="B91" s="63" t="s">
        <v>114</v>
      </c>
      <c r="C91" s="172" t="s">
        <v>261</v>
      </c>
      <c r="D91" s="162"/>
      <c r="E91" s="162"/>
      <c r="F91" s="173"/>
      <c r="G91" s="63" t="s">
        <v>397</v>
      </c>
      <c r="H91" s="64">
        <v>4</v>
      </c>
      <c r="I91" s="64">
        <v>0</v>
      </c>
      <c r="J91" s="64">
        <f>H91*AO91</f>
        <v>0</v>
      </c>
      <c r="K91" s="64">
        <f>H91*AP91</f>
        <v>0</v>
      </c>
      <c r="L91" s="64">
        <f>H91*I91</f>
        <v>0</v>
      </c>
      <c r="M91" s="65" t="s">
        <v>420</v>
      </c>
      <c r="N91" s="66"/>
      <c r="Z91" s="38">
        <f>IF(AQ91="5",BJ91,0)</f>
        <v>0</v>
      </c>
      <c r="AB91" s="38">
        <f>IF(AQ91="1",BH91,0)</f>
        <v>0</v>
      </c>
      <c r="AC91" s="38">
        <f>IF(AQ91="1",BI91,0)</f>
        <v>0</v>
      </c>
      <c r="AD91" s="38">
        <f>IF(AQ91="7",BH91,0)</f>
        <v>0</v>
      </c>
      <c r="AE91" s="38">
        <f>IF(AQ91="7",BI91,0)</f>
        <v>0</v>
      </c>
      <c r="AF91" s="38">
        <f>IF(AQ91="2",BH91,0)</f>
        <v>0</v>
      </c>
      <c r="AG91" s="38">
        <f>IF(AQ91="2",BI91,0)</f>
        <v>0</v>
      </c>
      <c r="AH91" s="38">
        <f>IF(AQ91="0",BJ91,0)</f>
        <v>0</v>
      </c>
      <c r="AI91" s="37"/>
      <c r="AJ91" s="23">
        <f>IF(AN91=0,L91,0)</f>
        <v>0</v>
      </c>
      <c r="AK91" s="23">
        <f>IF(AN91=15,L91,0)</f>
        <v>0</v>
      </c>
      <c r="AL91" s="23">
        <f>IF(AN91=21,L91,0)</f>
        <v>0</v>
      </c>
      <c r="AN91" s="38">
        <v>21</v>
      </c>
      <c r="AO91" s="38">
        <f>I91*0.00882175226586103</f>
        <v>0</v>
      </c>
      <c r="AP91" s="38">
        <f>I91*(1-0.00882175226586103)</f>
        <v>0</v>
      </c>
      <c r="AQ91" s="39" t="s">
        <v>13</v>
      </c>
      <c r="AV91" s="38">
        <f>AW91+AX91</f>
        <v>0</v>
      </c>
      <c r="AW91" s="38">
        <f>H91*AO91</f>
        <v>0</v>
      </c>
      <c r="AX91" s="38">
        <f>H91*AP91</f>
        <v>0</v>
      </c>
      <c r="AY91" s="41" t="s">
        <v>440</v>
      </c>
      <c r="AZ91" s="41" t="s">
        <v>464</v>
      </c>
      <c r="BA91" s="37" t="s">
        <v>471</v>
      </c>
      <c r="BC91" s="38">
        <f>AW91+AX91</f>
        <v>0</v>
      </c>
      <c r="BD91" s="38">
        <f>I91/(100-BE91)*100</f>
        <v>0</v>
      </c>
      <c r="BE91" s="38">
        <v>0</v>
      </c>
      <c r="BF91" s="38">
        <f>91</f>
        <v>91</v>
      </c>
      <c r="BH91" s="23">
        <f>H91*AO91</f>
        <v>0</v>
      </c>
      <c r="BI91" s="23">
        <f>H91*AP91</f>
        <v>0</v>
      </c>
      <c r="BJ91" s="23">
        <f>H91*I91</f>
        <v>0</v>
      </c>
      <c r="BK91" s="23" t="s">
        <v>476</v>
      </c>
      <c r="BL91" s="38">
        <v>725</v>
      </c>
    </row>
    <row r="92" spans="1:47" ht="12.75">
      <c r="A92" s="4"/>
      <c r="B92" s="14" t="s">
        <v>115</v>
      </c>
      <c r="C92" s="159" t="s">
        <v>262</v>
      </c>
      <c r="D92" s="160"/>
      <c r="E92" s="160"/>
      <c r="F92" s="160"/>
      <c r="G92" s="21" t="s">
        <v>6</v>
      </c>
      <c r="H92" s="21" t="s">
        <v>6</v>
      </c>
      <c r="I92" s="21" t="s">
        <v>6</v>
      </c>
      <c r="J92" s="44">
        <f>SUM(J93:J96)</f>
        <v>0</v>
      </c>
      <c r="K92" s="44">
        <f>SUM(K93:K96)</f>
        <v>0</v>
      </c>
      <c r="L92" s="44">
        <f>SUM(L93:L96)</f>
        <v>0</v>
      </c>
      <c r="M92" s="33"/>
      <c r="N92" s="6"/>
      <c r="AI92" s="37"/>
      <c r="AS92" s="44">
        <f>SUM(AJ93:AJ96)</f>
        <v>0</v>
      </c>
      <c r="AT92" s="44">
        <f>SUM(AK93:AK96)</f>
        <v>0</v>
      </c>
      <c r="AU92" s="44">
        <f>SUM(AL93:AL96)</f>
        <v>0</v>
      </c>
    </row>
    <row r="93" spans="1:64" ht="12.75">
      <c r="A93" s="5" t="s">
        <v>34</v>
      </c>
      <c r="B93" s="15" t="s">
        <v>116</v>
      </c>
      <c r="C93" s="161" t="s">
        <v>263</v>
      </c>
      <c r="D93" s="162"/>
      <c r="E93" s="162"/>
      <c r="F93" s="162"/>
      <c r="G93" s="15" t="s">
        <v>394</v>
      </c>
      <c r="H93" s="23">
        <v>2.5</v>
      </c>
      <c r="I93" s="23">
        <v>0</v>
      </c>
      <c r="J93" s="23">
        <f>H93*AO93</f>
        <v>0</v>
      </c>
      <c r="K93" s="23">
        <f>H93*AP93</f>
        <v>0</v>
      </c>
      <c r="L93" s="23">
        <f>H93*I93</f>
        <v>0</v>
      </c>
      <c r="M93" s="34" t="s">
        <v>420</v>
      </c>
      <c r="N93" s="6"/>
      <c r="Z93" s="38">
        <f>IF(AQ93="5",BJ93,0)</f>
        <v>0</v>
      </c>
      <c r="AB93" s="38">
        <f>IF(AQ93="1",BH93,0)</f>
        <v>0</v>
      </c>
      <c r="AC93" s="38">
        <f>IF(AQ93="1",BI93,0)</f>
        <v>0</v>
      </c>
      <c r="AD93" s="38">
        <f>IF(AQ93="7",BH93,0)</f>
        <v>0</v>
      </c>
      <c r="AE93" s="38">
        <f>IF(AQ93="7",BI93,0)</f>
        <v>0</v>
      </c>
      <c r="AF93" s="38">
        <f>IF(AQ93="2",BH93,0)</f>
        <v>0</v>
      </c>
      <c r="AG93" s="38">
        <f>IF(AQ93="2",BI93,0)</f>
        <v>0</v>
      </c>
      <c r="AH93" s="38">
        <f>IF(AQ93="0",BJ93,0)</f>
        <v>0</v>
      </c>
      <c r="AI93" s="37"/>
      <c r="AJ93" s="23">
        <f>IF(AN93=0,L93,0)</f>
        <v>0</v>
      </c>
      <c r="AK93" s="23">
        <f>IF(AN93=15,L93,0)</f>
        <v>0</v>
      </c>
      <c r="AL93" s="23">
        <f>IF(AN93=21,L93,0)</f>
        <v>0</v>
      </c>
      <c r="AN93" s="38">
        <v>21</v>
      </c>
      <c r="AO93" s="38">
        <f>I93*0</f>
        <v>0</v>
      </c>
      <c r="AP93" s="38">
        <f>I93*(1-0)</f>
        <v>0</v>
      </c>
      <c r="AQ93" s="39" t="s">
        <v>13</v>
      </c>
      <c r="AV93" s="38">
        <f>AW93+AX93</f>
        <v>0</v>
      </c>
      <c r="AW93" s="38">
        <f>H93*AO93</f>
        <v>0</v>
      </c>
      <c r="AX93" s="38">
        <f>H93*AP93</f>
        <v>0</v>
      </c>
      <c r="AY93" s="41" t="s">
        <v>441</v>
      </c>
      <c r="AZ93" s="41" t="s">
        <v>465</v>
      </c>
      <c r="BA93" s="37" t="s">
        <v>471</v>
      </c>
      <c r="BC93" s="38">
        <f>AW93+AX93</f>
        <v>0</v>
      </c>
      <c r="BD93" s="38">
        <f>I93/(100-BE93)*100</f>
        <v>0</v>
      </c>
      <c r="BE93" s="38">
        <v>0</v>
      </c>
      <c r="BF93" s="38">
        <f>93</f>
        <v>93</v>
      </c>
      <c r="BH93" s="23">
        <f>H93*AO93</f>
        <v>0</v>
      </c>
      <c r="BI93" s="23">
        <f>H93*AP93</f>
        <v>0</v>
      </c>
      <c r="BJ93" s="23">
        <f>H93*I93</f>
        <v>0</v>
      </c>
      <c r="BK93" s="23" t="s">
        <v>476</v>
      </c>
      <c r="BL93" s="38">
        <v>762</v>
      </c>
    </row>
    <row r="94" spans="1:14" ht="12.75">
      <c r="A94" s="6"/>
      <c r="B94" s="16" t="s">
        <v>87</v>
      </c>
      <c r="C94" s="163" t="s">
        <v>264</v>
      </c>
      <c r="D94" s="164"/>
      <c r="E94" s="164"/>
      <c r="F94" s="164"/>
      <c r="G94" s="164"/>
      <c r="H94" s="164"/>
      <c r="I94" s="164"/>
      <c r="J94" s="164"/>
      <c r="K94" s="164"/>
      <c r="L94" s="164"/>
      <c r="M94" s="165"/>
      <c r="N94" s="6"/>
    </row>
    <row r="95" spans="1:14" ht="12.75">
      <c r="A95" s="6"/>
      <c r="B95" s="17" t="s">
        <v>84</v>
      </c>
      <c r="C95" s="166" t="s">
        <v>265</v>
      </c>
      <c r="D95" s="167"/>
      <c r="E95" s="167"/>
      <c r="F95" s="167"/>
      <c r="G95" s="167"/>
      <c r="H95" s="167"/>
      <c r="I95" s="167"/>
      <c r="J95" s="167"/>
      <c r="K95" s="167"/>
      <c r="L95" s="167"/>
      <c r="M95" s="168"/>
      <c r="N95" s="6"/>
    </row>
    <row r="96" spans="1:64" ht="12.75">
      <c r="A96" s="5" t="s">
        <v>35</v>
      </c>
      <c r="B96" s="15" t="s">
        <v>117</v>
      </c>
      <c r="C96" s="161" t="s">
        <v>266</v>
      </c>
      <c r="D96" s="162"/>
      <c r="E96" s="162"/>
      <c r="F96" s="162"/>
      <c r="G96" s="15" t="s">
        <v>394</v>
      </c>
      <c r="H96" s="23">
        <v>5</v>
      </c>
      <c r="I96" s="23">
        <v>0</v>
      </c>
      <c r="J96" s="23">
        <f>H96*AO96</f>
        <v>0</v>
      </c>
      <c r="K96" s="23">
        <f>H96*AP96</f>
        <v>0</v>
      </c>
      <c r="L96" s="23">
        <f>H96*I96</f>
        <v>0</v>
      </c>
      <c r="M96" s="34" t="s">
        <v>420</v>
      </c>
      <c r="N96" s="6"/>
      <c r="Z96" s="38">
        <f>IF(AQ96="5",BJ96,0)</f>
        <v>0</v>
      </c>
      <c r="AB96" s="38">
        <f>IF(AQ96="1",BH96,0)</f>
        <v>0</v>
      </c>
      <c r="AC96" s="38">
        <f>IF(AQ96="1",BI96,0)</f>
        <v>0</v>
      </c>
      <c r="AD96" s="38">
        <f>IF(AQ96="7",BH96,0)</f>
        <v>0</v>
      </c>
      <c r="AE96" s="38">
        <f>IF(AQ96="7",BI96,0)</f>
        <v>0</v>
      </c>
      <c r="AF96" s="38">
        <f>IF(AQ96="2",BH96,0)</f>
        <v>0</v>
      </c>
      <c r="AG96" s="38">
        <f>IF(AQ96="2",BI96,0)</f>
        <v>0</v>
      </c>
      <c r="AH96" s="38">
        <f>IF(AQ96="0",BJ96,0)</f>
        <v>0</v>
      </c>
      <c r="AI96" s="37"/>
      <c r="AJ96" s="23">
        <f>IF(AN96=0,L96,0)</f>
        <v>0</v>
      </c>
      <c r="AK96" s="23">
        <f>IF(AN96=15,L96,0)</f>
        <v>0</v>
      </c>
      <c r="AL96" s="23">
        <f>IF(AN96=21,L96,0)</f>
        <v>0</v>
      </c>
      <c r="AN96" s="38">
        <v>21</v>
      </c>
      <c r="AO96" s="38">
        <f>I96*0.506870229007634</f>
        <v>0</v>
      </c>
      <c r="AP96" s="38">
        <f>I96*(1-0.506870229007634)</f>
        <v>0</v>
      </c>
      <c r="AQ96" s="39" t="s">
        <v>13</v>
      </c>
      <c r="AV96" s="38">
        <f>AW96+AX96</f>
        <v>0</v>
      </c>
      <c r="AW96" s="38">
        <f>H96*AO96</f>
        <v>0</v>
      </c>
      <c r="AX96" s="38">
        <f>H96*AP96</f>
        <v>0</v>
      </c>
      <c r="AY96" s="41" t="s">
        <v>441</v>
      </c>
      <c r="AZ96" s="41" t="s">
        <v>465</v>
      </c>
      <c r="BA96" s="37" t="s">
        <v>471</v>
      </c>
      <c r="BC96" s="38">
        <f>AW96+AX96</f>
        <v>0</v>
      </c>
      <c r="BD96" s="38">
        <f>I96/(100-BE96)*100</f>
        <v>0</v>
      </c>
      <c r="BE96" s="38">
        <v>0</v>
      </c>
      <c r="BF96" s="38">
        <f>96</f>
        <v>96</v>
      </c>
      <c r="BH96" s="23">
        <f>H96*AO96</f>
        <v>0</v>
      </c>
      <c r="BI96" s="23">
        <f>H96*AP96</f>
        <v>0</v>
      </c>
      <c r="BJ96" s="23">
        <f>H96*I96</f>
        <v>0</v>
      </c>
      <c r="BK96" s="23" t="s">
        <v>476</v>
      </c>
      <c r="BL96" s="38">
        <v>762</v>
      </c>
    </row>
    <row r="97" spans="1:14" ht="12.75">
      <c r="A97" s="6"/>
      <c r="B97" s="16" t="s">
        <v>90</v>
      </c>
      <c r="C97" s="169" t="s">
        <v>267</v>
      </c>
      <c r="D97" s="170"/>
      <c r="E97" s="170"/>
      <c r="F97" s="170"/>
      <c r="G97" s="170"/>
      <c r="H97" s="170"/>
      <c r="I97" s="170"/>
      <c r="J97" s="170"/>
      <c r="K97" s="170"/>
      <c r="L97" s="170"/>
      <c r="M97" s="171"/>
      <c r="N97" s="6"/>
    </row>
    <row r="98" spans="1:14" ht="12.75">
      <c r="A98" s="6"/>
      <c r="B98" s="17" t="s">
        <v>84</v>
      </c>
      <c r="C98" s="166" t="s">
        <v>268</v>
      </c>
      <c r="D98" s="167"/>
      <c r="E98" s="167"/>
      <c r="F98" s="167"/>
      <c r="G98" s="167"/>
      <c r="H98" s="167"/>
      <c r="I98" s="167"/>
      <c r="J98" s="167"/>
      <c r="K98" s="167"/>
      <c r="L98" s="167"/>
      <c r="M98" s="168"/>
      <c r="N98" s="6"/>
    </row>
    <row r="99" spans="1:47" ht="12.75">
      <c r="A99" s="4"/>
      <c r="B99" s="14" t="s">
        <v>118</v>
      </c>
      <c r="C99" s="159" t="s">
        <v>269</v>
      </c>
      <c r="D99" s="160"/>
      <c r="E99" s="160"/>
      <c r="F99" s="160"/>
      <c r="G99" s="21" t="s">
        <v>6</v>
      </c>
      <c r="H99" s="21" t="s">
        <v>6</v>
      </c>
      <c r="I99" s="21" t="s">
        <v>6</v>
      </c>
      <c r="J99" s="44">
        <f>SUM(J100:J117)</f>
        <v>0</v>
      </c>
      <c r="K99" s="44">
        <f>SUM(K100:K117)</f>
        <v>0</v>
      </c>
      <c r="L99" s="44">
        <f>SUM(L100:L117)</f>
        <v>0</v>
      </c>
      <c r="M99" s="33"/>
      <c r="N99" s="6"/>
      <c r="AI99" s="37"/>
      <c r="AS99" s="44">
        <f>SUM(AJ100:AJ117)</f>
        <v>0</v>
      </c>
      <c r="AT99" s="44">
        <f>SUM(AK100:AK117)</f>
        <v>0</v>
      </c>
      <c r="AU99" s="44">
        <f>SUM(AL100:AL117)</f>
        <v>0</v>
      </c>
    </row>
    <row r="100" spans="1:64" ht="12.75">
      <c r="A100" s="5" t="s">
        <v>36</v>
      </c>
      <c r="B100" s="15" t="s">
        <v>119</v>
      </c>
      <c r="C100" s="161" t="s">
        <v>270</v>
      </c>
      <c r="D100" s="162"/>
      <c r="E100" s="162"/>
      <c r="F100" s="162"/>
      <c r="G100" s="15" t="s">
        <v>396</v>
      </c>
      <c r="H100" s="23">
        <v>103.61</v>
      </c>
      <c r="I100" s="23">
        <v>0</v>
      </c>
      <c r="J100" s="23">
        <f>H100*AO100</f>
        <v>0</v>
      </c>
      <c r="K100" s="23">
        <f>H100*AP100</f>
        <v>0</v>
      </c>
      <c r="L100" s="23">
        <f>H100*I100</f>
        <v>0</v>
      </c>
      <c r="M100" s="34" t="s">
        <v>420</v>
      </c>
      <c r="N100" s="6"/>
      <c r="Z100" s="38">
        <f>IF(AQ100="5",BJ100,0)</f>
        <v>0</v>
      </c>
      <c r="AB100" s="38">
        <f>IF(AQ100="1",BH100,0)</f>
        <v>0</v>
      </c>
      <c r="AC100" s="38">
        <f>IF(AQ100="1",BI100,0)</f>
        <v>0</v>
      </c>
      <c r="AD100" s="38">
        <f>IF(AQ100="7",BH100,0)</f>
        <v>0</v>
      </c>
      <c r="AE100" s="38">
        <f>IF(AQ100="7",BI100,0)</f>
        <v>0</v>
      </c>
      <c r="AF100" s="38">
        <f>IF(AQ100="2",BH100,0)</f>
        <v>0</v>
      </c>
      <c r="AG100" s="38">
        <f>IF(AQ100="2",BI100,0)</f>
        <v>0</v>
      </c>
      <c r="AH100" s="38">
        <f>IF(AQ100="0",BJ100,0)</f>
        <v>0</v>
      </c>
      <c r="AI100" s="37"/>
      <c r="AJ100" s="23">
        <f>IF(AN100=0,L100,0)</f>
        <v>0</v>
      </c>
      <c r="AK100" s="23">
        <f>IF(AN100=15,L100,0)</f>
        <v>0</v>
      </c>
      <c r="AL100" s="23">
        <f>IF(AN100=21,L100,0)</f>
        <v>0</v>
      </c>
      <c r="AN100" s="38">
        <v>21</v>
      </c>
      <c r="AO100" s="38">
        <f>I100*0.484849883798722</f>
        <v>0</v>
      </c>
      <c r="AP100" s="38">
        <f>I100*(1-0.484849883798722)</f>
        <v>0</v>
      </c>
      <c r="AQ100" s="39" t="s">
        <v>13</v>
      </c>
      <c r="AV100" s="38">
        <f>AW100+AX100</f>
        <v>0</v>
      </c>
      <c r="AW100" s="38">
        <f>H100*AO100</f>
        <v>0</v>
      </c>
      <c r="AX100" s="38">
        <f>H100*AP100</f>
        <v>0</v>
      </c>
      <c r="AY100" s="41" t="s">
        <v>442</v>
      </c>
      <c r="AZ100" s="41" t="s">
        <v>465</v>
      </c>
      <c r="BA100" s="37" t="s">
        <v>471</v>
      </c>
      <c r="BC100" s="38">
        <f>AW100+AX100</f>
        <v>0</v>
      </c>
      <c r="BD100" s="38">
        <f>I100/(100-BE100)*100</f>
        <v>0</v>
      </c>
      <c r="BE100" s="38">
        <v>0</v>
      </c>
      <c r="BF100" s="38">
        <f>100</f>
        <v>100</v>
      </c>
      <c r="BH100" s="23">
        <f>H100*AO100</f>
        <v>0</v>
      </c>
      <c r="BI100" s="23">
        <f>H100*AP100</f>
        <v>0</v>
      </c>
      <c r="BJ100" s="23">
        <f>H100*I100</f>
        <v>0</v>
      </c>
      <c r="BK100" s="23" t="s">
        <v>476</v>
      </c>
      <c r="BL100" s="38">
        <v>764</v>
      </c>
    </row>
    <row r="101" spans="1:14" ht="12.75">
      <c r="A101" s="6"/>
      <c r="B101" s="16" t="s">
        <v>90</v>
      </c>
      <c r="C101" s="169" t="s">
        <v>271</v>
      </c>
      <c r="D101" s="170"/>
      <c r="E101" s="170"/>
      <c r="F101" s="170"/>
      <c r="G101" s="170"/>
      <c r="H101" s="170"/>
      <c r="I101" s="170"/>
      <c r="J101" s="170"/>
      <c r="K101" s="170"/>
      <c r="L101" s="170"/>
      <c r="M101" s="171"/>
      <c r="N101" s="6"/>
    </row>
    <row r="102" spans="1:14" ht="12.75">
      <c r="A102" s="6"/>
      <c r="B102" s="16" t="s">
        <v>87</v>
      </c>
      <c r="C102" s="163" t="s">
        <v>272</v>
      </c>
      <c r="D102" s="164"/>
      <c r="E102" s="164"/>
      <c r="F102" s="164"/>
      <c r="G102" s="164"/>
      <c r="H102" s="164"/>
      <c r="I102" s="164"/>
      <c r="J102" s="164"/>
      <c r="K102" s="164"/>
      <c r="L102" s="164"/>
      <c r="M102" s="165"/>
      <c r="N102" s="6"/>
    </row>
    <row r="103" spans="1:64" ht="12.75">
      <c r="A103" s="5" t="s">
        <v>37</v>
      </c>
      <c r="B103" s="15" t="s">
        <v>120</v>
      </c>
      <c r="C103" s="161" t="s">
        <v>273</v>
      </c>
      <c r="D103" s="162"/>
      <c r="E103" s="162"/>
      <c r="F103" s="162"/>
      <c r="G103" s="15" t="s">
        <v>396</v>
      </c>
      <c r="H103" s="23">
        <v>103.61</v>
      </c>
      <c r="I103" s="23">
        <v>0</v>
      </c>
      <c r="J103" s="23">
        <f>H103*AO103</f>
        <v>0</v>
      </c>
      <c r="K103" s="23">
        <f>H103*AP103</f>
        <v>0</v>
      </c>
      <c r="L103" s="23">
        <f>H103*I103</f>
        <v>0</v>
      </c>
      <c r="M103" s="34" t="s">
        <v>420</v>
      </c>
      <c r="N103" s="6"/>
      <c r="Z103" s="38">
        <f>IF(AQ103="5",BJ103,0)</f>
        <v>0</v>
      </c>
      <c r="AB103" s="38">
        <f>IF(AQ103="1",BH103,0)</f>
        <v>0</v>
      </c>
      <c r="AC103" s="38">
        <f>IF(AQ103="1",BI103,0)</f>
        <v>0</v>
      </c>
      <c r="AD103" s="38">
        <f>IF(AQ103="7",BH103,0)</f>
        <v>0</v>
      </c>
      <c r="AE103" s="38">
        <f>IF(AQ103="7",BI103,0)</f>
        <v>0</v>
      </c>
      <c r="AF103" s="38">
        <f>IF(AQ103="2",BH103,0)</f>
        <v>0</v>
      </c>
      <c r="AG103" s="38">
        <f>IF(AQ103="2",BI103,0)</f>
        <v>0</v>
      </c>
      <c r="AH103" s="38">
        <f>IF(AQ103="0",BJ103,0)</f>
        <v>0</v>
      </c>
      <c r="AI103" s="37"/>
      <c r="AJ103" s="23">
        <f>IF(AN103=0,L103,0)</f>
        <v>0</v>
      </c>
      <c r="AK103" s="23">
        <f>IF(AN103=15,L103,0)</f>
        <v>0</v>
      </c>
      <c r="AL103" s="23">
        <f>IF(AN103=21,L103,0)</f>
        <v>0</v>
      </c>
      <c r="AN103" s="38">
        <v>21</v>
      </c>
      <c r="AO103" s="38">
        <f>I103*0</f>
        <v>0</v>
      </c>
      <c r="AP103" s="38">
        <f>I103*(1-0)</f>
        <v>0</v>
      </c>
      <c r="AQ103" s="39" t="s">
        <v>13</v>
      </c>
      <c r="AV103" s="38">
        <f>AW103+AX103</f>
        <v>0</v>
      </c>
      <c r="AW103" s="38">
        <f>H103*AO103</f>
        <v>0</v>
      </c>
      <c r="AX103" s="38">
        <f>H103*AP103</f>
        <v>0</v>
      </c>
      <c r="AY103" s="41" t="s">
        <v>442</v>
      </c>
      <c r="AZ103" s="41" t="s">
        <v>465</v>
      </c>
      <c r="BA103" s="37" t="s">
        <v>471</v>
      </c>
      <c r="BC103" s="38">
        <f>AW103+AX103</f>
        <v>0</v>
      </c>
      <c r="BD103" s="38">
        <f>I103/(100-BE103)*100</f>
        <v>0</v>
      </c>
      <c r="BE103" s="38">
        <v>0</v>
      </c>
      <c r="BF103" s="38">
        <f>103</f>
        <v>103</v>
      </c>
      <c r="BH103" s="23">
        <f>H103*AO103</f>
        <v>0</v>
      </c>
      <c r="BI103" s="23">
        <f>H103*AP103</f>
        <v>0</v>
      </c>
      <c r="BJ103" s="23">
        <f>H103*I103</f>
        <v>0</v>
      </c>
      <c r="BK103" s="23" t="s">
        <v>476</v>
      </c>
      <c r="BL103" s="38">
        <v>764</v>
      </c>
    </row>
    <row r="104" spans="1:14" ht="12.75">
      <c r="A104" s="6"/>
      <c r="B104" s="16" t="s">
        <v>87</v>
      </c>
      <c r="C104" s="163" t="s">
        <v>274</v>
      </c>
      <c r="D104" s="164"/>
      <c r="E104" s="164"/>
      <c r="F104" s="164"/>
      <c r="G104" s="164"/>
      <c r="H104" s="164"/>
      <c r="I104" s="164"/>
      <c r="J104" s="164"/>
      <c r="K104" s="164"/>
      <c r="L104" s="164"/>
      <c r="M104" s="165"/>
      <c r="N104" s="6"/>
    </row>
    <row r="105" spans="1:64" ht="12.75">
      <c r="A105" s="5" t="s">
        <v>38</v>
      </c>
      <c r="B105" s="15" t="s">
        <v>121</v>
      </c>
      <c r="C105" s="161" t="s">
        <v>275</v>
      </c>
      <c r="D105" s="162"/>
      <c r="E105" s="162"/>
      <c r="F105" s="162"/>
      <c r="G105" s="15" t="s">
        <v>394</v>
      </c>
      <c r="H105" s="23">
        <v>2.5</v>
      </c>
      <c r="I105" s="23">
        <v>0</v>
      </c>
      <c r="J105" s="23">
        <f>H105*AO105</f>
        <v>0</v>
      </c>
      <c r="K105" s="23">
        <f>H105*AP105</f>
        <v>0</v>
      </c>
      <c r="L105" s="23">
        <f>H105*I105</f>
        <v>0</v>
      </c>
      <c r="M105" s="34" t="s">
        <v>420</v>
      </c>
      <c r="N105" s="6"/>
      <c r="Z105" s="38">
        <f>IF(AQ105="5",BJ105,0)</f>
        <v>0</v>
      </c>
      <c r="AB105" s="38">
        <f>IF(AQ105="1",BH105,0)</f>
        <v>0</v>
      </c>
      <c r="AC105" s="38">
        <f>IF(AQ105="1",BI105,0)</f>
        <v>0</v>
      </c>
      <c r="AD105" s="38">
        <f>IF(AQ105="7",BH105,0)</f>
        <v>0</v>
      </c>
      <c r="AE105" s="38">
        <f>IF(AQ105="7",BI105,0)</f>
        <v>0</v>
      </c>
      <c r="AF105" s="38">
        <f>IF(AQ105="2",BH105,0)</f>
        <v>0</v>
      </c>
      <c r="AG105" s="38">
        <f>IF(AQ105="2",BI105,0)</f>
        <v>0</v>
      </c>
      <c r="AH105" s="38">
        <f>IF(AQ105="0",BJ105,0)</f>
        <v>0</v>
      </c>
      <c r="AI105" s="37"/>
      <c r="AJ105" s="23">
        <f>IF(AN105=0,L105,0)</f>
        <v>0</v>
      </c>
      <c r="AK105" s="23">
        <f>IF(AN105=15,L105,0)</f>
        <v>0</v>
      </c>
      <c r="AL105" s="23">
        <f>IF(AN105=21,L105,0)</f>
        <v>0</v>
      </c>
      <c r="AN105" s="38">
        <v>21</v>
      </c>
      <c r="AO105" s="38">
        <f>I105*0</f>
        <v>0</v>
      </c>
      <c r="AP105" s="38">
        <f>I105*(1-0)</f>
        <v>0</v>
      </c>
      <c r="AQ105" s="39" t="s">
        <v>13</v>
      </c>
      <c r="AV105" s="38">
        <f>AW105+AX105</f>
        <v>0</v>
      </c>
      <c r="AW105" s="38">
        <f>H105*AO105</f>
        <v>0</v>
      </c>
      <c r="AX105" s="38">
        <f>H105*AP105</f>
        <v>0</v>
      </c>
      <c r="AY105" s="41" t="s">
        <v>442</v>
      </c>
      <c r="AZ105" s="41" t="s">
        <v>465</v>
      </c>
      <c r="BA105" s="37" t="s">
        <v>471</v>
      </c>
      <c r="BC105" s="38">
        <f>AW105+AX105</f>
        <v>0</v>
      </c>
      <c r="BD105" s="38">
        <f>I105/(100-BE105)*100</f>
        <v>0</v>
      </c>
      <c r="BE105" s="38">
        <v>0</v>
      </c>
      <c r="BF105" s="38">
        <f>105</f>
        <v>105</v>
      </c>
      <c r="BH105" s="23">
        <f>H105*AO105</f>
        <v>0</v>
      </c>
      <c r="BI105" s="23">
        <f>H105*AP105</f>
        <v>0</v>
      </c>
      <c r="BJ105" s="23">
        <f>H105*I105</f>
        <v>0</v>
      </c>
      <c r="BK105" s="23" t="s">
        <v>476</v>
      </c>
      <c r="BL105" s="38">
        <v>764</v>
      </c>
    </row>
    <row r="106" spans="1:14" ht="12.75">
      <c r="A106" s="6"/>
      <c r="B106" s="16" t="s">
        <v>87</v>
      </c>
      <c r="C106" s="163" t="s">
        <v>276</v>
      </c>
      <c r="D106" s="164"/>
      <c r="E106" s="164"/>
      <c r="F106" s="164"/>
      <c r="G106" s="164"/>
      <c r="H106" s="164"/>
      <c r="I106" s="164"/>
      <c r="J106" s="164"/>
      <c r="K106" s="164"/>
      <c r="L106" s="164"/>
      <c r="M106" s="165"/>
      <c r="N106" s="6"/>
    </row>
    <row r="107" spans="1:14" ht="12.75">
      <c r="A107" s="6"/>
      <c r="B107" s="17" t="s">
        <v>84</v>
      </c>
      <c r="C107" s="166" t="s">
        <v>277</v>
      </c>
      <c r="D107" s="167"/>
      <c r="E107" s="167"/>
      <c r="F107" s="167"/>
      <c r="G107" s="167"/>
      <c r="H107" s="167"/>
      <c r="I107" s="167"/>
      <c r="J107" s="167"/>
      <c r="K107" s="167"/>
      <c r="L107" s="167"/>
      <c r="M107" s="168"/>
      <c r="N107" s="6"/>
    </row>
    <row r="108" spans="1:64" ht="12.75">
      <c r="A108" s="5" t="s">
        <v>39</v>
      </c>
      <c r="B108" s="15" t="s">
        <v>122</v>
      </c>
      <c r="C108" s="161" t="s">
        <v>278</v>
      </c>
      <c r="D108" s="162"/>
      <c r="E108" s="162"/>
      <c r="F108" s="162"/>
      <c r="G108" s="15" t="s">
        <v>396</v>
      </c>
      <c r="H108" s="23">
        <v>87</v>
      </c>
      <c r="I108" s="23">
        <v>0</v>
      </c>
      <c r="J108" s="23">
        <f>H108*AO108</f>
        <v>0</v>
      </c>
      <c r="K108" s="23">
        <f>H108*AP108</f>
        <v>0</v>
      </c>
      <c r="L108" s="23">
        <f>H108*I108</f>
        <v>0</v>
      </c>
      <c r="M108" s="34" t="s">
        <v>420</v>
      </c>
      <c r="N108" s="6"/>
      <c r="Z108" s="38">
        <f>IF(AQ108="5",BJ108,0)</f>
        <v>0</v>
      </c>
      <c r="AB108" s="38">
        <f>IF(AQ108="1",BH108,0)</f>
        <v>0</v>
      </c>
      <c r="AC108" s="38">
        <f>IF(AQ108="1",BI108,0)</f>
        <v>0</v>
      </c>
      <c r="AD108" s="38">
        <f>IF(AQ108="7",BH108,0)</f>
        <v>0</v>
      </c>
      <c r="AE108" s="38">
        <f>IF(AQ108="7",BI108,0)</f>
        <v>0</v>
      </c>
      <c r="AF108" s="38">
        <f>IF(AQ108="2",BH108,0)</f>
        <v>0</v>
      </c>
      <c r="AG108" s="38">
        <f>IF(AQ108="2",BI108,0)</f>
        <v>0</v>
      </c>
      <c r="AH108" s="38">
        <f>IF(AQ108="0",BJ108,0)</f>
        <v>0</v>
      </c>
      <c r="AI108" s="37"/>
      <c r="AJ108" s="23">
        <f>IF(AN108=0,L108,0)</f>
        <v>0</v>
      </c>
      <c r="AK108" s="23">
        <f>IF(AN108=15,L108,0)</f>
        <v>0</v>
      </c>
      <c r="AL108" s="23">
        <f>IF(AN108=21,L108,0)</f>
        <v>0</v>
      </c>
      <c r="AN108" s="38">
        <v>21</v>
      </c>
      <c r="AO108" s="38">
        <f>I108*0</f>
        <v>0</v>
      </c>
      <c r="AP108" s="38">
        <f>I108*(1-0)</f>
        <v>0</v>
      </c>
      <c r="AQ108" s="39" t="s">
        <v>13</v>
      </c>
      <c r="AV108" s="38">
        <f>AW108+AX108</f>
        <v>0</v>
      </c>
      <c r="AW108" s="38">
        <f>H108*AO108</f>
        <v>0</v>
      </c>
      <c r="AX108" s="38">
        <f>H108*AP108</f>
        <v>0</v>
      </c>
      <c r="AY108" s="41" t="s">
        <v>442</v>
      </c>
      <c r="AZ108" s="41" t="s">
        <v>465</v>
      </c>
      <c r="BA108" s="37" t="s">
        <v>471</v>
      </c>
      <c r="BC108" s="38">
        <f>AW108+AX108</f>
        <v>0</v>
      </c>
      <c r="BD108" s="38">
        <f>I108/(100-BE108)*100</f>
        <v>0</v>
      </c>
      <c r="BE108" s="38">
        <v>0</v>
      </c>
      <c r="BF108" s="38">
        <f>108</f>
        <v>108</v>
      </c>
      <c r="BH108" s="23">
        <f>H108*AO108</f>
        <v>0</v>
      </c>
      <c r="BI108" s="23">
        <f>H108*AP108</f>
        <v>0</v>
      </c>
      <c r="BJ108" s="23">
        <f>H108*I108</f>
        <v>0</v>
      </c>
      <c r="BK108" s="23" t="s">
        <v>476</v>
      </c>
      <c r="BL108" s="38">
        <v>764</v>
      </c>
    </row>
    <row r="109" spans="1:14" ht="12.75">
      <c r="A109" s="6"/>
      <c r="B109" s="16" t="s">
        <v>87</v>
      </c>
      <c r="C109" s="163" t="s">
        <v>279</v>
      </c>
      <c r="D109" s="164"/>
      <c r="E109" s="164"/>
      <c r="F109" s="164"/>
      <c r="G109" s="164"/>
      <c r="H109" s="164"/>
      <c r="I109" s="164"/>
      <c r="J109" s="164"/>
      <c r="K109" s="164"/>
      <c r="L109" s="164"/>
      <c r="M109" s="165"/>
      <c r="N109" s="6"/>
    </row>
    <row r="110" spans="1:14" ht="12.75">
      <c r="A110" s="6"/>
      <c r="B110" s="17" t="s">
        <v>84</v>
      </c>
      <c r="C110" s="166" t="s">
        <v>280</v>
      </c>
      <c r="D110" s="167"/>
      <c r="E110" s="167"/>
      <c r="F110" s="167"/>
      <c r="G110" s="167"/>
      <c r="H110" s="167"/>
      <c r="I110" s="167"/>
      <c r="J110" s="167"/>
      <c r="K110" s="167"/>
      <c r="L110" s="167"/>
      <c r="M110" s="168"/>
      <c r="N110" s="6"/>
    </row>
    <row r="111" spans="1:64" ht="12.75">
      <c r="A111" s="5" t="s">
        <v>40</v>
      </c>
      <c r="B111" s="15" t="s">
        <v>123</v>
      </c>
      <c r="C111" s="161" t="s">
        <v>281</v>
      </c>
      <c r="D111" s="162"/>
      <c r="E111" s="162"/>
      <c r="F111" s="162"/>
      <c r="G111" s="15" t="s">
        <v>396</v>
      </c>
      <c r="H111" s="23">
        <v>10</v>
      </c>
      <c r="I111" s="23">
        <v>0</v>
      </c>
      <c r="J111" s="23">
        <f>H111*AO111</f>
        <v>0</v>
      </c>
      <c r="K111" s="23">
        <f>H111*AP111</f>
        <v>0</v>
      </c>
      <c r="L111" s="23">
        <f>H111*I111</f>
        <v>0</v>
      </c>
      <c r="M111" s="34" t="s">
        <v>420</v>
      </c>
      <c r="N111" s="6"/>
      <c r="Z111" s="38">
        <f>IF(AQ111="5",BJ111,0)</f>
        <v>0</v>
      </c>
      <c r="AB111" s="38">
        <f>IF(AQ111="1",BH111,0)</f>
        <v>0</v>
      </c>
      <c r="AC111" s="38">
        <f>IF(AQ111="1",BI111,0)</f>
        <v>0</v>
      </c>
      <c r="AD111" s="38">
        <f>IF(AQ111="7",BH111,0)</f>
        <v>0</v>
      </c>
      <c r="AE111" s="38">
        <f>IF(AQ111="7",BI111,0)</f>
        <v>0</v>
      </c>
      <c r="AF111" s="38">
        <f>IF(AQ111="2",BH111,0)</f>
        <v>0</v>
      </c>
      <c r="AG111" s="38">
        <f>IF(AQ111="2",BI111,0)</f>
        <v>0</v>
      </c>
      <c r="AH111" s="38">
        <f>IF(AQ111="0",BJ111,0)</f>
        <v>0</v>
      </c>
      <c r="AI111" s="37"/>
      <c r="AJ111" s="23">
        <f>IF(AN111=0,L111,0)</f>
        <v>0</v>
      </c>
      <c r="AK111" s="23">
        <f>IF(AN111=15,L111,0)</f>
        <v>0</v>
      </c>
      <c r="AL111" s="23">
        <f>IF(AN111=21,L111,0)</f>
        <v>0</v>
      </c>
      <c r="AN111" s="38">
        <v>21</v>
      </c>
      <c r="AO111" s="38">
        <f>I111*0.232229639519359</f>
        <v>0</v>
      </c>
      <c r="AP111" s="38">
        <f>I111*(1-0.232229639519359)</f>
        <v>0</v>
      </c>
      <c r="AQ111" s="39" t="s">
        <v>13</v>
      </c>
      <c r="AV111" s="38">
        <f>AW111+AX111</f>
        <v>0</v>
      </c>
      <c r="AW111" s="38">
        <f>H111*AO111</f>
        <v>0</v>
      </c>
      <c r="AX111" s="38">
        <f>H111*AP111</f>
        <v>0</v>
      </c>
      <c r="AY111" s="41" t="s">
        <v>442</v>
      </c>
      <c r="AZ111" s="41" t="s">
        <v>465</v>
      </c>
      <c r="BA111" s="37" t="s">
        <v>471</v>
      </c>
      <c r="BC111" s="38">
        <f>AW111+AX111</f>
        <v>0</v>
      </c>
      <c r="BD111" s="38">
        <f>I111/(100-BE111)*100</f>
        <v>0</v>
      </c>
      <c r="BE111" s="38">
        <v>0</v>
      </c>
      <c r="BF111" s="38">
        <f>111</f>
        <v>111</v>
      </c>
      <c r="BH111" s="23">
        <f>H111*AO111</f>
        <v>0</v>
      </c>
      <c r="BI111" s="23">
        <f>H111*AP111</f>
        <v>0</v>
      </c>
      <c r="BJ111" s="23">
        <f>H111*I111</f>
        <v>0</v>
      </c>
      <c r="BK111" s="23" t="s">
        <v>476</v>
      </c>
      <c r="BL111" s="38">
        <v>764</v>
      </c>
    </row>
    <row r="112" spans="1:14" ht="25.5" customHeight="1">
      <c r="A112" s="6"/>
      <c r="B112" s="17" t="s">
        <v>84</v>
      </c>
      <c r="C112" s="166" t="s">
        <v>282</v>
      </c>
      <c r="D112" s="167"/>
      <c r="E112" s="167"/>
      <c r="F112" s="167"/>
      <c r="G112" s="167"/>
      <c r="H112" s="167"/>
      <c r="I112" s="167"/>
      <c r="J112" s="167"/>
      <c r="K112" s="167"/>
      <c r="L112" s="167"/>
      <c r="M112" s="168"/>
      <c r="N112" s="6"/>
    </row>
    <row r="113" spans="1:64" ht="12.75">
      <c r="A113" s="5" t="s">
        <v>41</v>
      </c>
      <c r="B113" s="15" t="s">
        <v>124</v>
      </c>
      <c r="C113" s="161" t="s">
        <v>281</v>
      </c>
      <c r="D113" s="162"/>
      <c r="E113" s="162"/>
      <c r="F113" s="162"/>
      <c r="G113" s="15" t="s">
        <v>396</v>
      </c>
      <c r="H113" s="23">
        <v>11</v>
      </c>
      <c r="I113" s="23">
        <v>0</v>
      </c>
      <c r="J113" s="23">
        <f>H113*AO113</f>
        <v>0</v>
      </c>
      <c r="K113" s="23">
        <f>H113*AP113</f>
        <v>0</v>
      </c>
      <c r="L113" s="23">
        <f>H113*I113</f>
        <v>0</v>
      </c>
      <c r="M113" s="34" t="s">
        <v>420</v>
      </c>
      <c r="N113" s="6"/>
      <c r="Z113" s="38">
        <f>IF(AQ113="5",BJ113,0)</f>
        <v>0</v>
      </c>
      <c r="AB113" s="38">
        <f>IF(AQ113="1",BH113,0)</f>
        <v>0</v>
      </c>
      <c r="AC113" s="38">
        <f>IF(AQ113="1",BI113,0)</f>
        <v>0</v>
      </c>
      <c r="AD113" s="38">
        <f>IF(AQ113="7",BH113,0)</f>
        <v>0</v>
      </c>
      <c r="AE113" s="38">
        <f>IF(AQ113="7",BI113,0)</f>
        <v>0</v>
      </c>
      <c r="AF113" s="38">
        <f>IF(AQ113="2",BH113,0)</f>
        <v>0</v>
      </c>
      <c r="AG113" s="38">
        <f>IF(AQ113="2",BI113,0)</f>
        <v>0</v>
      </c>
      <c r="AH113" s="38">
        <f>IF(AQ113="0",BJ113,0)</f>
        <v>0</v>
      </c>
      <c r="AI113" s="37"/>
      <c r="AJ113" s="23">
        <f>IF(AN113=0,L113,0)</f>
        <v>0</v>
      </c>
      <c r="AK113" s="23">
        <f>IF(AN113=15,L113,0)</f>
        <v>0</v>
      </c>
      <c r="AL113" s="23">
        <f>IF(AN113=21,L113,0)</f>
        <v>0</v>
      </c>
      <c r="AN113" s="38">
        <v>21</v>
      </c>
      <c r="AO113" s="38">
        <f>I113*0.273090464181378</f>
        <v>0</v>
      </c>
      <c r="AP113" s="38">
        <f>I113*(1-0.273090464181378)</f>
        <v>0</v>
      </c>
      <c r="AQ113" s="39" t="s">
        <v>13</v>
      </c>
      <c r="AV113" s="38">
        <f>AW113+AX113</f>
        <v>0</v>
      </c>
      <c r="AW113" s="38">
        <f>H113*AO113</f>
        <v>0</v>
      </c>
      <c r="AX113" s="38">
        <f>H113*AP113</f>
        <v>0</v>
      </c>
      <c r="AY113" s="41" t="s">
        <v>442</v>
      </c>
      <c r="AZ113" s="41" t="s">
        <v>465</v>
      </c>
      <c r="BA113" s="37" t="s">
        <v>471</v>
      </c>
      <c r="BC113" s="38">
        <f>AW113+AX113</f>
        <v>0</v>
      </c>
      <c r="BD113" s="38">
        <f>I113/(100-BE113)*100</f>
        <v>0</v>
      </c>
      <c r="BE113" s="38">
        <v>0</v>
      </c>
      <c r="BF113" s="38">
        <f>113</f>
        <v>113</v>
      </c>
      <c r="BH113" s="23">
        <f>H113*AO113</f>
        <v>0</v>
      </c>
      <c r="BI113" s="23">
        <f>H113*AP113</f>
        <v>0</v>
      </c>
      <c r="BJ113" s="23">
        <f>H113*I113</f>
        <v>0</v>
      </c>
      <c r="BK113" s="23" t="s">
        <v>476</v>
      </c>
      <c r="BL113" s="38">
        <v>764</v>
      </c>
    </row>
    <row r="114" spans="1:14" ht="25.5" customHeight="1">
      <c r="A114" s="6"/>
      <c r="B114" s="17" t="s">
        <v>84</v>
      </c>
      <c r="C114" s="166" t="s">
        <v>283</v>
      </c>
      <c r="D114" s="167"/>
      <c r="E114" s="167"/>
      <c r="F114" s="167"/>
      <c r="G114" s="167"/>
      <c r="H114" s="167"/>
      <c r="I114" s="167"/>
      <c r="J114" s="167"/>
      <c r="K114" s="167"/>
      <c r="L114" s="167"/>
      <c r="M114" s="168"/>
      <c r="N114" s="6"/>
    </row>
    <row r="115" spans="1:64" ht="12.75">
      <c r="A115" s="5" t="s">
        <v>42</v>
      </c>
      <c r="B115" s="15" t="s">
        <v>125</v>
      </c>
      <c r="C115" s="161" t="s">
        <v>281</v>
      </c>
      <c r="D115" s="162"/>
      <c r="E115" s="162"/>
      <c r="F115" s="162"/>
      <c r="G115" s="15" t="s">
        <v>396</v>
      </c>
      <c r="H115" s="23">
        <v>66</v>
      </c>
      <c r="I115" s="23">
        <v>0</v>
      </c>
      <c r="J115" s="23">
        <f>H115*AO115</f>
        <v>0</v>
      </c>
      <c r="K115" s="23">
        <f>H115*AP115</f>
        <v>0</v>
      </c>
      <c r="L115" s="23">
        <f>H115*I115</f>
        <v>0</v>
      </c>
      <c r="M115" s="34" t="s">
        <v>420</v>
      </c>
      <c r="N115" s="6"/>
      <c r="Z115" s="38">
        <f>IF(AQ115="5",BJ115,0)</f>
        <v>0</v>
      </c>
      <c r="AB115" s="38">
        <f>IF(AQ115="1",BH115,0)</f>
        <v>0</v>
      </c>
      <c r="AC115" s="38">
        <f>IF(AQ115="1",BI115,0)</f>
        <v>0</v>
      </c>
      <c r="AD115" s="38">
        <f>IF(AQ115="7",BH115,0)</f>
        <v>0</v>
      </c>
      <c r="AE115" s="38">
        <f>IF(AQ115="7",BI115,0)</f>
        <v>0</v>
      </c>
      <c r="AF115" s="38">
        <f>IF(AQ115="2",BH115,0)</f>
        <v>0</v>
      </c>
      <c r="AG115" s="38">
        <f>IF(AQ115="2",BI115,0)</f>
        <v>0</v>
      </c>
      <c r="AH115" s="38">
        <f>IF(AQ115="0",BJ115,0)</f>
        <v>0</v>
      </c>
      <c r="AI115" s="37"/>
      <c r="AJ115" s="23">
        <f>IF(AN115=0,L115,0)</f>
        <v>0</v>
      </c>
      <c r="AK115" s="23">
        <f>IF(AN115=15,L115,0)</f>
        <v>0</v>
      </c>
      <c r="AL115" s="23">
        <f>IF(AN115=21,L115,0)</f>
        <v>0</v>
      </c>
      <c r="AN115" s="38">
        <v>21</v>
      </c>
      <c r="AO115" s="38">
        <f>I115*0.286689873838718</f>
        <v>0</v>
      </c>
      <c r="AP115" s="38">
        <f>I115*(1-0.286689873838718)</f>
        <v>0</v>
      </c>
      <c r="AQ115" s="39" t="s">
        <v>13</v>
      </c>
      <c r="AV115" s="38">
        <f>AW115+AX115</f>
        <v>0</v>
      </c>
      <c r="AW115" s="38">
        <f>H115*AO115</f>
        <v>0</v>
      </c>
      <c r="AX115" s="38">
        <f>H115*AP115</f>
        <v>0</v>
      </c>
      <c r="AY115" s="41" t="s">
        <v>442</v>
      </c>
      <c r="AZ115" s="41" t="s">
        <v>465</v>
      </c>
      <c r="BA115" s="37" t="s">
        <v>471</v>
      </c>
      <c r="BC115" s="38">
        <f>AW115+AX115</f>
        <v>0</v>
      </c>
      <c r="BD115" s="38">
        <f>I115/(100-BE115)*100</f>
        <v>0</v>
      </c>
      <c r="BE115" s="38">
        <v>0</v>
      </c>
      <c r="BF115" s="38">
        <f>115</f>
        <v>115</v>
      </c>
      <c r="BH115" s="23">
        <f>H115*AO115</f>
        <v>0</v>
      </c>
      <c r="BI115" s="23">
        <f>H115*AP115</f>
        <v>0</v>
      </c>
      <c r="BJ115" s="23">
        <f>H115*I115</f>
        <v>0</v>
      </c>
      <c r="BK115" s="23" t="s">
        <v>476</v>
      </c>
      <c r="BL115" s="38">
        <v>764</v>
      </c>
    </row>
    <row r="116" spans="1:14" ht="25.5" customHeight="1">
      <c r="A116" s="6"/>
      <c r="B116" s="17" t="s">
        <v>84</v>
      </c>
      <c r="C116" s="166" t="s">
        <v>284</v>
      </c>
      <c r="D116" s="167"/>
      <c r="E116" s="167"/>
      <c r="F116" s="167"/>
      <c r="G116" s="167"/>
      <c r="H116" s="167"/>
      <c r="I116" s="167"/>
      <c r="J116" s="167"/>
      <c r="K116" s="167"/>
      <c r="L116" s="167"/>
      <c r="M116" s="168"/>
      <c r="N116" s="6"/>
    </row>
    <row r="117" spans="1:64" ht="12.75">
      <c r="A117" s="5" t="s">
        <v>43</v>
      </c>
      <c r="B117" s="15" t="s">
        <v>126</v>
      </c>
      <c r="C117" s="161" t="s">
        <v>285</v>
      </c>
      <c r="D117" s="162"/>
      <c r="E117" s="162"/>
      <c r="F117" s="162"/>
      <c r="G117" s="15" t="s">
        <v>394</v>
      </c>
      <c r="H117" s="23">
        <v>2.5</v>
      </c>
      <c r="I117" s="23">
        <v>0</v>
      </c>
      <c r="J117" s="23">
        <f>H117*AO117</f>
        <v>0</v>
      </c>
      <c r="K117" s="23">
        <f>H117*AP117</f>
        <v>0</v>
      </c>
      <c r="L117" s="23">
        <f>H117*I117</f>
        <v>0</v>
      </c>
      <c r="M117" s="34" t="s">
        <v>420</v>
      </c>
      <c r="N117" s="6"/>
      <c r="Z117" s="38">
        <f>IF(AQ117="5",BJ117,0)</f>
        <v>0</v>
      </c>
      <c r="AB117" s="38">
        <f>IF(AQ117="1",BH117,0)</f>
        <v>0</v>
      </c>
      <c r="AC117" s="38">
        <f>IF(AQ117="1",BI117,0)</f>
        <v>0</v>
      </c>
      <c r="AD117" s="38">
        <f>IF(AQ117="7",BH117,0)</f>
        <v>0</v>
      </c>
      <c r="AE117" s="38">
        <f>IF(AQ117="7",BI117,0)</f>
        <v>0</v>
      </c>
      <c r="AF117" s="38">
        <f>IF(AQ117="2",BH117,0)</f>
        <v>0</v>
      </c>
      <c r="AG117" s="38">
        <f>IF(AQ117="2",BI117,0)</f>
        <v>0</v>
      </c>
      <c r="AH117" s="38">
        <f>IF(AQ117="0",BJ117,0)</f>
        <v>0</v>
      </c>
      <c r="AI117" s="37"/>
      <c r="AJ117" s="23">
        <f>IF(AN117=0,L117,0)</f>
        <v>0</v>
      </c>
      <c r="AK117" s="23">
        <f>IF(AN117=15,L117,0)</f>
        <v>0</v>
      </c>
      <c r="AL117" s="23">
        <f>IF(AN117=21,L117,0)</f>
        <v>0</v>
      </c>
      <c r="AN117" s="38">
        <v>21</v>
      </c>
      <c r="AO117" s="38">
        <f>I117*0.274930769965305</f>
        <v>0</v>
      </c>
      <c r="AP117" s="38">
        <f>I117*(1-0.274930769965305)</f>
        <v>0</v>
      </c>
      <c r="AQ117" s="39" t="s">
        <v>13</v>
      </c>
      <c r="AV117" s="38">
        <f>AW117+AX117</f>
        <v>0</v>
      </c>
      <c r="AW117" s="38">
        <f>H117*AO117</f>
        <v>0</v>
      </c>
      <c r="AX117" s="38">
        <f>H117*AP117</f>
        <v>0</v>
      </c>
      <c r="AY117" s="41" t="s">
        <v>442</v>
      </c>
      <c r="AZ117" s="41" t="s">
        <v>465</v>
      </c>
      <c r="BA117" s="37" t="s">
        <v>471</v>
      </c>
      <c r="BC117" s="38">
        <f>AW117+AX117</f>
        <v>0</v>
      </c>
      <c r="BD117" s="38">
        <f>I117/(100-BE117)*100</f>
        <v>0</v>
      </c>
      <c r="BE117" s="38">
        <v>0</v>
      </c>
      <c r="BF117" s="38">
        <f>117</f>
        <v>117</v>
      </c>
      <c r="BH117" s="23">
        <f>H117*AO117</f>
        <v>0</v>
      </c>
      <c r="BI117" s="23">
        <f>H117*AP117</f>
        <v>0</v>
      </c>
      <c r="BJ117" s="23">
        <f>H117*I117</f>
        <v>0</v>
      </c>
      <c r="BK117" s="23" t="s">
        <v>476</v>
      </c>
      <c r="BL117" s="38">
        <v>764</v>
      </c>
    </row>
    <row r="118" spans="1:14" ht="12.75">
      <c r="A118" s="6"/>
      <c r="B118" s="16" t="s">
        <v>87</v>
      </c>
      <c r="C118" s="163" t="s">
        <v>286</v>
      </c>
      <c r="D118" s="164"/>
      <c r="E118" s="164"/>
      <c r="F118" s="164"/>
      <c r="G118" s="164"/>
      <c r="H118" s="164"/>
      <c r="I118" s="164"/>
      <c r="J118" s="164"/>
      <c r="K118" s="164"/>
      <c r="L118" s="164"/>
      <c r="M118" s="165"/>
      <c r="N118" s="6"/>
    </row>
    <row r="119" spans="1:14" ht="25.5" customHeight="1">
      <c r="A119" s="6"/>
      <c r="B119" s="17" t="s">
        <v>84</v>
      </c>
      <c r="C119" s="166" t="s">
        <v>287</v>
      </c>
      <c r="D119" s="167"/>
      <c r="E119" s="167"/>
      <c r="F119" s="167"/>
      <c r="G119" s="167"/>
      <c r="H119" s="167"/>
      <c r="I119" s="167"/>
      <c r="J119" s="167"/>
      <c r="K119" s="167"/>
      <c r="L119" s="167"/>
      <c r="M119" s="168"/>
      <c r="N119" s="6"/>
    </row>
    <row r="120" spans="1:47" ht="12.75">
      <c r="A120" s="4"/>
      <c r="B120" s="14" t="s">
        <v>127</v>
      </c>
      <c r="C120" s="159" t="s">
        <v>288</v>
      </c>
      <c r="D120" s="160"/>
      <c r="E120" s="160"/>
      <c r="F120" s="160"/>
      <c r="G120" s="21" t="s">
        <v>6</v>
      </c>
      <c r="H120" s="21" t="s">
        <v>6</v>
      </c>
      <c r="I120" s="21" t="s">
        <v>6</v>
      </c>
      <c r="J120" s="44">
        <f>SUM(J121:J121)</f>
        <v>0</v>
      </c>
      <c r="K120" s="44">
        <f>SUM(K121:K121)</f>
        <v>0</v>
      </c>
      <c r="L120" s="44">
        <f>SUM(L121:L121)</f>
        <v>0</v>
      </c>
      <c r="M120" s="33"/>
      <c r="N120" s="6"/>
      <c r="AI120" s="37"/>
      <c r="AS120" s="44">
        <f>SUM(AJ121:AJ121)</f>
        <v>0</v>
      </c>
      <c r="AT120" s="44">
        <f>SUM(AK121:AK121)</f>
        <v>0</v>
      </c>
      <c r="AU120" s="44">
        <f>SUM(AL121:AL121)</f>
        <v>0</v>
      </c>
    </row>
    <row r="121" spans="1:64" ht="12.75">
      <c r="A121" s="5" t="s">
        <v>44</v>
      </c>
      <c r="B121" s="15" t="s">
        <v>128</v>
      </c>
      <c r="C121" s="161" t="s">
        <v>289</v>
      </c>
      <c r="D121" s="162"/>
      <c r="E121" s="162"/>
      <c r="F121" s="162"/>
      <c r="G121" s="15" t="s">
        <v>394</v>
      </c>
      <c r="H121" s="23">
        <v>3.78</v>
      </c>
      <c r="I121" s="23">
        <v>0</v>
      </c>
      <c r="J121" s="23">
        <f>H121*AO121</f>
        <v>0</v>
      </c>
      <c r="K121" s="23">
        <f>H121*AP121</f>
        <v>0</v>
      </c>
      <c r="L121" s="23">
        <f>H121*I121</f>
        <v>0</v>
      </c>
      <c r="M121" s="34" t="s">
        <v>420</v>
      </c>
      <c r="N121" s="6"/>
      <c r="Z121" s="38">
        <f>IF(AQ121="5",BJ121,0)</f>
        <v>0</v>
      </c>
      <c r="AB121" s="38">
        <f>IF(AQ121="1",BH121,0)</f>
        <v>0</v>
      </c>
      <c r="AC121" s="38">
        <f>IF(AQ121="1",BI121,0)</f>
        <v>0</v>
      </c>
      <c r="AD121" s="38">
        <f>IF(AQ121="7",BH121,0)</f>
        <v>0</v>
      </c>
      <c r="AE121" s="38">
        <f>IF(AQ121="7",BI121,0)</f>
        <v>0</v>
      </c>
      <c r="AF121" s="38">
        <f>IF(AQ121="2",BH121,0)</f>
        <v>0</v>
      </c>
      <c r="AG121" s="38">
        <f>IF(AQ121="2",BI121,0)</f>
        <v>0</v>
      </c>
      <c r="AH121" s="38">
        <f>IF(AQ121="0",BJ121,0)</f>
        <v>0</v>
      </c>
      <c r="AI121" s="37"/>
      <c r="AJ121" s="23">
        <f>IF(AN121=0,L121,0)</f>
        <v>0</v>
      </c>
      <c r="AK121" s="23">
        <f>IF(AN121=15,L121,0)</f>
        <v>0</v>
      </c>
      <c r="AL121" s="23">
        <f>IF(AN121=21,L121,0)</f>
        <v>0</v>
      </c>
      <c r="AN121" s="38">
        <v>21</v>
      </c>
      <c r="AO121" s="38">
        <f>I121*0</f>
        <v>0</v>
      </c>
      <c r="AP121" s="38">
        <f>I121*(1-0)</f>
        <v>0</v>
      </c>
      <c r="AQ121" s="39" t="s">
        <v>13</v>
      </c>
      <c r="AV121" s="38">
        <f>AW121+AX121</f>
        <v>0</v>
      </c>
      <c r="AW121" s="38">
        <f>H121*AO121</f>
        <v>0</v>
      </c>
      <c r="AX121" s="38">
        <f>H121*AP121</f>
        <v>0</v>
      </c>
      <c r="AY121" s="41" t="s">
        <v>443</v>
      </c>
      <c r="AZ121" s="41" t="s">
        <v>466</v>
      </c>
      <c r="BA121" s="37" t="s">
        <v>471</v>
      </c>
      <c r="BC121" s="38">
        <f>AW121+AX121</f>
        <v>0</v>
      </c>
      <c r="BD121" s="38">
        <f>I121/(100-BE121)*100</f>
        <v>0</v>
      </c>
      <c r="BE121" s="38">
        <v>0</v>
      </c>
      <c r="BF121" s="38">
        <f>121</f>
        <v>121</v>
      </c>
      <c r="BH121" s="23">
        <f>H121*AO121</f>
        <v>0</v>
      </c>
      <c r="BI121" s="23">
        <f>H121*AP121</f>
        <v>0</v>
      </c>
      <c r="BJ121" s="23">
        <f>H121*I121</f>
        <v>0</v>
      </c>
      <c r="BK121" s="23" t="s">
        <v>476</v>
      </c>
      <c r="BL121" s="38">
        <v>771</v>
      </c>
    </row>
    <row r="122" spans="1:14" ht="38.25" customHeight="1">
      <c r="A122" s="6"/>
      <c r="B122" s="16" t="s">
        <v>87</v>
      </c>
      <c r="C122" s="163" t="s">
        <v>290</v>
      </c>
      <c r="D122" s="164"/>
      <c r="E122" s="164"/>
      <c r="F122" s="164"/>
      <c r="G122" s="164"/>
      <c r="H122" s="164"/>
      <c r="I122" s="164"/>
      <c r="J122" s="164"/>
      <c r="K122" s="164"/>
      <c r="L122" s="164"/>
      <c r="M122" s="165"/>
      <c r="N122" s="6"/>
    </row>
    <row r="123" spans="1:14" ht="12.75">
      <c r="A123" s="6"/>
      <c r="B123" s="17" t="s">
        <v>84</v>
      </c>
      <c r="C123" s="166" t="s">
        <v>291</v>
      </c>
      <c r="D123" s="167"/>
      <c r="E123" s="167"/>
      <c r="F123" s="167"/>
      <c r="G123" s="167"/>
      <c r="H123" s="167"/>
      <c r="I123" s="167"/>
      <c r="J123" s="167"/>
      <c r="K123" s="167"/>
      <c r="L123" s="167"/>
      <c r="M123" s="168"/>
      <c r="N123" s="6"/>
    </row>
    <row r="124" spans="1:47" ht="12.75">
      <c r="A124" s="4"/>
      <c r="B124" s="14" t="s">
        <v>129</v>
      </c>
      <c r="C124" s="159" t="s">
        <v>292</v>
      </c>
      <c r="D124" s="160"/>
      <c r="E124" s="160"/>
      <c r="F124" s="160"/>
      <c r="G124" s="21" t="s">
        <v>6</v>
      </c>
      <c r="H124" s="21" t="s">
        <v>6</v>
      </c>
      <c r="I124" s="21" t="s">
        <v>6</v>
      </c>
      <c r="J124" s="44">
        <f>SUM(J125:J125)</f>
        <v>0</v>
      </c>
      <c r="K124" s="44">
        <f>SUM(K125:K125)</f>
        <v>0</v>
      </c>
      <c r="L124" s="44">
        <f>SUM(L125:L125)</f>
        <v>0</v>
      </c>
      <c r="M124" s="33"/>
      <c r="N124" s="6"/>
      <c r="AI124" s="37"/>
      <c r="AS124" s="44">
        <f>SUM(AJ125:AJ125)</f>
        <v>0</v>
      </c>
      <c r="AT124" s="44">
        <f>SUM(AK125:AK125)</f>
        <v>0</v>
      </c>
      <c r="AU124" s="44">
        <f>SUM(AL125:AL125)</f>
        <v>0</v>
      </c>
    </row>
    <row r="125" spans="1:64" ht="12.75">
      <c r="A125" s="5" t="s">
        <v>45</v>
      </c>
      <c r="B125" s="15" t="s">
        <v>130</v>
      </c>
      <c r="C125" s="161" t="s">
        <v>293</v>
      </c>
      <c r="D125" s="162"/>
      <c r="E125" s="162"/>
      <c r="F125" s="162"/>
      <c r="G125" s="15" t="s">
        <v>394</v>
      </c>
      <c r="H125" s="23">
        <v>10</v>
      </c>
      <c r="I125" s="23">
        <v>0</v>
      </c>
      <c r="J125" s="23">
        <f>H125*AO125</f>
        <v>0</v>
      </c>
      <c r="K125" s="23">
        <f>H125*AP125</f>
        <v>0</v>
      </c>
      <c r="L125" s="23">
        <f>H125*I125</f>
        <v>0</v>
      </c>
      <c r="M125" s="34" t="s">
        <v>420</v>
      </c>
      <c r="N125" s="6"/>
      <c r="Z125" s="38">
        <f>IF(AQ125="5",BJ125,0)</f>
        <v>0</v>
      </c>
      <c r="AB125" s="38">
        <f>IF(AQ125="1",BH125,0)</f>
        <v>0</v>
      </c>
      <c r="AC125" s="38">
        <f>IF(AQ125="1",BI125,0)</f>
        <v>0</v>
      </c>
      <c r="AD125" s="38">
        <f>IF(AQ125="7",BH125,0)</f>
        <v>0</v>
      </c>
      <c r="AE125" s="38">
        <f>IF(AQ125="7",BI125,0)</f>
        <v>0</v>
      </c>
      <c r="AF125" s="38">
        <f>IF(AQ125="2",BH125,0)</f>
        <v>0</v>
      </c>
      <c r="AG125" s="38">
        <f>IF(AQ125="2",BI125,0)</f>
        <v>0</v>
      </c>
      <c r="AH125" s="38">
        <f>IF(AQ125="0",BJ125,0)</f>
        <v>0</v>
      </c>
      <c r="AI125" s="37"/>
      <c r="AJ125" s="23">
        <f>IF(AN125=0,L125,0)</f>
        <v>0</v>
      </c>
      <c r="AK125" s="23">
        <f>IF(AN125=15,L125,0)</f>
        <v>0</v>
      </c>
      <c r="AL125" s="23">
        <f>IF(AN125=21,L125,0)</f>
        <v>0</v>
      </c>
      <c r="AN125" s="38">
        <v>21</v>
      </c>
      <c r="AO125" s="38">
        <f>I125*0.173056443024494</f>
        <v>0</v>
      </c>
      <c r="AP125" s="38">
        <f>I125*(1-0.173056443024494)</f>
        <v>0</v>
      </c>
      <c r="AQ125" s="39" t="s">
        <v>13</v>
      </c>
      <c r="AV125" s="38">
        <f>AW125+AX125</f>
        <v>0</v>
      </c>
      <c r="AW125" s="38">
        <f>H125*AO125</f>
        <v>0</v>
      </c>
      <c r="AX125" s="38">
        <f>H125*AP125</f>
        <v>0</v>
      </c>
      <c r="AY125" s="41" t="s">
        <v>444</v>
      </c>
      <c r="AZ125" s="41" t="s">
        <v>467</v>
      </c>
      <c r="BA125" s="37" t="s">
        <v>471</v>
      </c>
      <c r="BC125" s="38">
        <f>AW125+AX125</f>
        <v>0</v>
      </c>
      <c r="BD125" s="38">
        <f>I125/(100-BE125)*100</f>
        <v>0</v>
      </c>
      <c r="BE125" s="38">
        <v>0</v>
      </c>
      <c r="BF125" s="38">
        <f>125</f>
        <v>125</v>
      </c>
      <c r="BH125" s="23">
        <f>H125*AO125</f>
        <v>0</v>
      </c>
      <c r="BI125" s="23">
        <f>H125*AP125</f>
        <v>0</v>
      </c>
      <c r="BJ125" s="23">
        <f>H125*I125</f>
        <v>0</v>
      </c>
      <c r="BK125" s="23" t="s">
        <v>476</v>
      </c>
      <c r="BL125" s="38">
        <v>783</v>
      </c>
    </row>
    <row r="126" spans="1:14" ht="25.5" customHeight="1">
      <c r="A126" s="6"/>
      <c r="B126" s="16" t="s">
        <v>87</v>
      </c>
      <c r="C126" s="163" t="s">
        <v>294</v>
      </c>
      <c r="D126" s="164"/>
      <c r="E126" s="164"/>
      <c r="F126" s="164"/>
      <c r="G126" s="164"/>
      <c r="H126" s="164"/>
      <c r="I126" s="164"/>
      <c r="J126" s="164"/>
      <c r="K126" s="164"/>
      <c r="L126" s="164"/>
      <c r="M126" s="165"/>
      <c r="N126" s="6"/>
    </row>
    <row r="127" spans="1:14" ht="12.75">
      <c r="A127" s="6"/>
      <c r="B127" s="17" t="s">
        <v>84</v>
      </c>
      <c r="C127" s="166" t="s">
        <v>295</v>
      </c>
      <c r="D127" s="167"/>
      <c r="E127" s="167"/>
      <c r="F127" s="167"/>
      <c r="G127" s="167"/>
      <c r="H127" s="167"/>
      <c r="I127" s="167"/>
      <c r="J127" s="167"/>
      <c r="K127" s="167"/>
      <c r="L127" s="167"/>
      <c r="M127" s="168"/>
      <c r="N127" s="6"/>
    </row>
    <row r="128" spans="1:47" ht="12.75">
      <c r="A128" s="4"/>
      <c r="B128" s="14" t="s">
        <v>131</v>
      </c>
      <c r="C128" s="159" t="s">
        <v>296</v>
      </c>
      <c r="D128" s="160"/>
      <c r="E128" s="160"/>
      <c r="F128" s="160"/>
      <c r="G128" s="21" t="s">
        <v>6</v>
      </c>
      <c r="H128" s="21" t="s">
        <v>6</v>
      </c>
      <c r="I128" s="21" t="s">
        <v>6</v>
      </c>
      <c r="J128" s="44">
        <f>SUM(J129:J132)</f>
        <v>0</v>
      </c>
      <c r="K128" s="44">
        <f>SUM(K129:K132)</f>
        <v>0</v>
      </c>
      <c r="L128" s="44">
        <f>SUM(L129:L132)</f>
        <v>0</v>
      </c>
      <c r="M128" s="33"/>
      <c r="N128" s="6"/>
      <c r="AI128" s="37"/>
      <c r="AS128" s="44">
        <f>SUM(AJ129:AJ132)</f>
        <v>0</v>
      </c>
      <c r="AT128" s="44">
        <f>SUM(AK129:AK132)</f>
        <v>0</v>
      </c>
      <c r="AU128" s="44">
        <f>SUM(AL129:AL132)</f>
        <v>0</v>
      </c>
    </row>
    <row r="129" spans="1:64" ht="12.75">
      <c r="A129" s="5" t="s">
        <v>46</v>
      </c>
      <c r="B129" s="15" t="s">
        <v>132</v>
      </c>
      <c r="C129" s="161" t="s">
        <v>297</v>
      </c>
      <c r="D129" s="162"/>
      <c r="E129" s="162"/>
      <c r="F129" s="162"/>
      <c r="G129" s="15" t="s">
        <v>394</v>
      </c>
      <c r="H129" s="23">
        <v>978.35</v>
      </c>
      <c r="I129" s="23">
        <v>0</v>
      </c>
      <c r="J129" s="23">
        <f>H129*AO129</f>
        <v>0</v>
      </c>
      <c r="K129" s="23">
        <f>H129*AP129</f>
        <v>0</v>
      </c>
      <c r="L129" s="23">
        <f>H129*I129</f>
        <v>0</v>
      </c>
      <c r="M129" s="34" t="s">
        <v>420</v>
      </c>
      <c r="N129" s="6"/>
      <c r="Z129" s="38">
        <f>IF(AQ129="5",BJ129,0)</f>
        <v>0</v>
      </c>
      <c r="AB129" s="38">
        <f>IF(AQ129="1",BH129,0)</f>
        <v>0</v>
      </c>
      <c r="AC129" s="38">
        <f>IF(AQ129="1",BI129,0)</f>
        <v>0</v>
      </c>
      <c r="AD129" s="38">
        <f>IF(AQ129="7",BH129,0)</f>
        <v>0</v>
      </c>
      <c r="AE129" s="38">
        <f>IF(AQ129="7",BI129,0)</f>
        <v>0</v>
      </c>
      <c r="AF129" s="38">
        <f>IF(AQ129="2",BH129,0)</f>
        <v>0</v>
      </c>
      <c r="AG129" s="38">
        <f>IF(AQ129="2",BI129,0)</f>
        <v>0</v>
      </c>
      <c r="AH129" s="38">
        <f>IF(AQ129="0",BJ129,0)</f>
        <v>0</v>
      </c>
      <c r="AI129" s="37"/>
      <c r="AJ129" s="23">
        <f>IF(AN129=0,L129,0)</f>
        <v>0</v>
      </c>
      <c r="AK129" s="23">
        <f>IF(AN129=15,L129,0)</f>
        <v>0</v>
      </c>
      <c r="AL129" s="23">
        <f>IF(AN129=21,L129,0)</f>
        <v>0</v>
      </c>
      <c r="AN129" s="38">
        <v>21</v>
      </c>
      <c r="AO129" s="38">
        <f>I129*0.602145196388256</f>
        <v>0</v>
      </c>
      <c r="AP129" s="38">
        <f>I129*(1-0.602145196388256)</f>
        <v>0</v>
      </c>
      <c r="AQ129" s="39" t="s">
        <v>13</v>
      </c>
      <c r="AV129" s="38">
        <f>AW129+AX129</f>
        <v>0</v>
      </c>
      <c r="AW129" s="38">
        <f>H129*AO129</f>
        <v>0</v>
      </c>
      <c r="AX129" s="38">
        <f>H129*AP129</f>
        <v>0</v>
      </c>
      <c r="AY129" s="41" t="s">
        <v>445</v>
      </c>
      <c r="AZ129" s="41" t="s">
        <v>467</v>
      </c>
      <c r="BA129" s="37" t="s">
        <v>471</v>
      </c>
      <c r="BC129" s="38">
        <f>AW129+AX129</f>
        <v>0</v>
      </c>
      <c r="BD129" s="38">
        <f>I129/(100-BE129)*100</f>
        <v>0</v>
      </c>
      <c r="BE129" s="38">
        <v>0</v>
      </c>
      <c r="BF129" s="38">
        <f>129</f>
        <v>129</v>
      </c>
      <c r="BH129" s="23">
        <f>H129*AO129</f>
        <v>0</v>
      </c>
      <c r="BI129" s="23">
        <f>H129*AP129</f>
        <v>0</v>
      </c>
      <c r="BJ129" s="23">
        <f>H129*I129</f>
        <v>0</v>
      </c>
      <c r="BK129" s="23" t="s">
        <v>476</v>
      </c>
      <c r="BL129" s="38">
        <v>784</v>
      </c>
    </row>
    <row r="130" spans="1:14" ht="12.75">
      <c r="A130" s="6"/>
      <c r="B130" s="16" t="s">
        <v>87</v>
      </c>
      <c r="C130" s="163" t="s">
        <v>298</v>
      </c>
      <c r="D130" s="164"/>
      <c r="E130" s="164"/>
      <c r="F130" s="164"/>
      <c r="G130" s="164"/>
      <c r="H130" s="164"/>
      <c r="I130" s="164"/>
      <c r="J130" s="164"/>
      <c r="K130" s="164"/>
      <c r="L130" s="164"/>
      <c r="M130" s="165"/>
      <c r="N130" s="6"/>
    </row>
    <row r="131" spans="1:14" ht="12.75">
      <c r="A131" s="6"/>
      <c r="B131" s="17" t="s">
        <v>84</v>
      </c>
      <c r="C131" s="166" t="s">
        <v>299</v>
      </c>
      <c r="D131" s="167"/>
      <c r="E131" s="167"/>
      <c r="F131" s="167"/>
      <c r="G131" s="167"/>
      <c r="H131" s="167"/>
      <c r="I131" s="167"/>
      <c r="J131" s="167"/>
      <c r="K131" s="167"/>
      <c r="L131" s="167"/>
      <c r="M131" s="168"/>
      <c r="N131" s="6"/>
    </row>
    <row r="132" spans="1:64" ht="12.75">
      <c r="A132" s="5" t="s">
        <v>47</v>
      </c>
      <c r="B132" s="15" t="s">
        <v>133</v>
      </c>
      <c r="C132" s="161" t="s">
        <v>300</v>
      </c>
      <c r="D132" s="162"/>
      <c r="E132" s="162"/>
      <c r="F132" s="162"/>
      <c r="G132" s="15" t="s">
        <v>394</v>
      </c>
      <c r="H132" s="23">
        <v>5</v>
      </c>
      <c r="I132" s="23">
        <v>0</v>
      </c>
      <c r="J132" s="23">
        <f>H132*AO132</f>
        <v>0</v>
      </c>
      <c r="K132" s="23">
        <f>H132*AP132</f>
        <v>0</v>
      </c>
      <c r="L132" s="23">
        <f>H132*I132</f>
        <v>0</v>
      </c>
      <c r="M132" s="34" t="s">
        <v>420</v>
      </c>
      <c r="N132" s="6"/>
      <c r="Z132" s="38">
        <f>IF(AQ132="5",BJ132,0)</f>
        <v>0</v>
      </c>
      <c r="AB132" s="38">
        <f>IF(AQ132="1",BH132,0)</f>
        <v>0</v>
      </c>
      <c r="AC132" s="38">
        <f>IF(AQ132="1",BI132,0)</f>
        <v>0</v>
      </c>
      <c r="AD132" s="38">
        <f>IF(AQ132="7",BH132,0)</f>
        <v>0</v>
      </c>
      <c r="AE132" s="38">
        <f>IF(AQ132="7",BI132,0)</f>
        <v>0</v>
      </c>
      <c r="AF132" s="38">
        <f>IF(AQ132="2",BH132,0)</f>
        <v>0</v>
      </c>
      <c r="AG132" s="38">
        <f>IF(AQ132="2",BI132,0)</f>
        <v>0</v>
      </c>
      <c r="AH132" s="38">
        <f>IF(AQ132="0",BJ132,0)</f>
        <v>0</v>
      </c>
      <c r="AI132" s="37"/>
      <c r="AJ132" s="23">
        <f>IF(AN132=0,L132,0)</f>
        <v>0</v>
      </c>
      <c r="AK132" s="23">
        <f>IF(AN132=15,L132,0)</f>
        <v>0</v>
      </c>
      <c r="AL132" s="23">
        <f>IF(AN132=21,L132,0)</f>
        <v>0</v>
      </c>
      <c r="AN132" s="38">
        <v>21</v>
      </c>
      <c r="AO132" s="38">
        <f>I132*0</f>
        <v>0</v>
      </c>
      <c r="AP132" s="38">
        <f>I132*(1-0)</f>
        <v>0</v>
      </c>
      <c r="AQ132" s="39" t="s">
        <v>13</v>
      </c>
      <c r="AV132" s="38">
        <f>AW132+AX132</f>
        <v>0</v>
      </c>
      <c r="AW132" s="38">
        <f>H132*AO132</f>
        <v>0</v>
      </c>
      <c r="AX132" s="38">
        <f>H132*AP132</f>
        <v>0</v>
      </c>
      <c r="AY132" s="41" t="s">
        <v>445</v>
      </c>
      <c r="AZ132" s="41" t="s">
        <v>467</v>
      </c>
      <c r="BA132" s="37" t="s">
        <v>471</v>
      </c>
      <c r="BC132" s="38">
        <f>AW132+AX132</f>
        <v>0</v>
      </c>
      <c r="BD132" s="38">
        <f>I132/(100-BE132)*100</f>
        <v>0</v>
      </c>
      <c r="BE132" s="38">
        <v>0</v>
      </c>
      <c r="BF132" s="38">
        <f>132</f>
        <v>132</v>
      </c>
      <c r="BH132" s="23">
        <f>H132*AO132</f>
        <v>0</v>
      </c>
      <c r="BI132" s="23">
        <f>H132*AP132</f>
        <v>0</v>
      </c>
      <c r="BJ132" s="23">
        <f>H132*I132</f>
        <v>0</v>
      </c>
      <c r="BK132" s="23" t="s">
        <v>476</v>
      </c>
      <c r="BL132" s="38">
        <v>784</v>
      </c>
    </row>
    <row r="133" spans="1:14" ht="12.75">
      <c r="A133" s="6"/>
      <c r="B133" s="16" t="s">
        <v>87</v>
      </c>
      <c r="C133" s="163" t="s">
        <v>301</v>
      </c>
      <c r="D133" s="164"/>
      <c r="E133" s="164"/>
      <c r="F133" s="164"/>
      <c r="G133" s="164"/>
      <c r="H133" s="164"/>
      <c r="I133" s="164"/>
      <c r="J133" s="164"/>
      <c r="K133" s="164"/>
      <c r="L133" s="164"/>
      <c r="M133" s="165"/>
      <c r="N133" s="6"/>
    </row>
    <row r="134" spans="1:14" ht="12.75">
      <c r="A134" s="6"/>
      <c r="B134" s="17" t="s">
        <v>84</v>
      </c>
      <c r="C134" s="166" t="s">
        <v>302</v>
      </c>
      <c r="D134" s="167"/>
      <c r="E134" s="167"/>
      <c r="F134" s="167"/>
      <c r="G134" s="167"/>
      <c r="H134" s="167"/>
      <c r="I134" s="167"/>
      <c r="J134" s="167"/>
      <c r="K134" s="167"/>
      <c r="L134" s="167"/>
      <c r="M134" s="168"/>
      <c r="N134" s="6"/>
    </row>
    <row r="135" spans="1:47" ht="12.75">
      <c r="A135" s="4"/>
      <c r="B135" s="14" t="s">
        <v>134</v>
      </c>
      <c r="C135" s="159" t="s">
        <v>303</v>
      </c>
      <c r="D135" s="160"/>
      <c r="E135" s="160"/>
      <c r="F135" s="160"/>
      <c r="G135" s="21" t="s">
        <v>6</v>
      </c>
      <c r="H135" s="21" t="s">
        <v>6</v>
      </c>
      <c r="I135" s="21" t="s">
        <v>6</v>
      </c>
      <c r="J135" s="44">
        <f>SUM(J136:J136)</f>
        <v>0</v>
      </c>
      <c r="K135" s="44">
        <f>SUM(K136:K136)</f>
        <v>0</v>
      </c>
      <c r="L135" s="44">
        <f>SUM(L136:L136)</f>
        <v>0</v>
      </c>
      <c r="M135" s="33"/>
      <c r="N135" s="6"/>
      <c r="AI135" s="37"/>
      <c r="AS135" s="44">
        <f>SUM(AJ136:AJ136)</f>
        <v>0</v>
      </c>
      <c r="AT135" s="44">
        <f>SUM(AK136:AK136)</f>
        <v>0</v>
      </c>
      <c r="AU135" s="44">
        <f>SUM(AL136:AL136)</f>
        <v>0</v>
      </c>
    </row>
    <row r="136" spans="1:64" ht="12.75">
      <c r="A136" s="5" t="s">
        <v>48</v>
      </c>
      <c r="B136" s="15" t="s">
        <v>135</v>
      </c>
      <c r="C136" s="161" t="s">
        <v>304</v>
      </c>
      <c r="D136" s="162"/>
      <c r="E136" s="162"/>
      <c r="F136" s="162"/>
      <c r="G136" s="15" t="s">
        <v>398</v>
      </c>
      <c r="H136" s="23">
        <v>0</v>
      </c>
      <c r="I136" s="23">
        <v>0</v>
      </c>
      <c r="J136" s="23">
        <f>H136*AO136</f>
        <v>0</v>
      </c>
      <c r="K136" s="23">
        <f>H136*AP136</f>
        <v>0</v>
      </c>
      <c r="L136" s="23">
        <f>H136*I136</f>
        <v>0</v>
      </c>
      <c r="M136" s="34" t="s">
        <v>420</v>
      </c>
      <c r="N136" s="6"/>
      <c r="Z136" s="38">
        <f>IF(AQ136="5",BJ136,0)</f>
        <v>0</v>
      </c>
      <c r="AB136" s="38">
        <f>IF(AQ136="1",BH136,0)</f>
        <v>0</v>
      </c>
      <c r="AC136" s="38">
        <f>IF(AQ136="1",BI136,0)</f>
        <v>0</v>
      </c>
      <c r="AD136" s="38">
        <f>IF(AQ136="7",BH136,0)</f>
        <v>0</v>
      </c>
      <c r="AE136" s="38">
        <f>IF(AQ136="7",BI136,0)</f>
        <v>0</v>
      </c>
      <c r="AF136" s="38">
        <f>IF(AQ136="2",BH136,0)</f>
        <v>0</v>
      </c>
      <c r="AG136" s="38">
        <f>IF(AQ136="2",BI136,0)</f>
        <v>0</v>
      </c>
      <c r="AH136" s="38">
        <f>IF(AQ136="0",BJ136,0)</f>
        <v>0</v>
      </c>
      <c r="AI136" s="37"/>
      <c r="AJ136" s="23">
        <f>IF(AN136=0,L136,0)</f>
        <v>0</v>
      </c>
      <c r="AK136" s="23">
        <f>IF(AN136=15,L136,0)</f>
        <v>0</v>
      </c>
      <c r="AL136" s="23">
        <f>IF(AN136=21,L136,0)</f>
        <v>0</v>
      </c>
      <c r="AN136" s="38">
        <v>21</v>
      </c>
      <c r="AO136" s="38">
        <f>I136*0</f>
        <v>0</v>
      </c>
      <c r="AP136" s="38">
        <f>I136*(1-0)</f>
        <v>0</v>
      </c>
      <c r="AQ136" s="39" t="s">
        <v>7</v>
      </c>
      <c r="AV136" s="38">
        <f>AW136+AX136</f>
        <v>0</v>
      </c>
      <c r="AW136" s="38">
        <f>H136*AO136</f>
        <v>0</v>
      </c>
      <c r="AX136" s="38">
        <f>H136*AP136</f>
        <v>0</v>
      </c>
      <c r="AY136" s="41" t="s">
        <v>446</v>
      </c>
      <c r="AZ136" s="41" t="s">
        <v>468</v>
      </c>
      <c r="BA136" s="37" t="s">
        <v>471</v>
      </c>
      <c r="BC136" s="38">
        <f>AW136+AX136</f>
        <v>0</v>
      </c>
      <c r="BD136" s="38">
        <f>I136/(100-BE136)*100</f>
        <v>0</v>
      </c>
      <c r="BE136" s="38">
        <v>0</v>
      </c>
      <c r="BF136" s="38">
        <f>136</f>
        <v>136</v>
      </c>
      <c r="BH136" s="23">
        <f>H136*AO136</f>
        <v>0</v>
      </c>
      <c r="BI136" s="23">
        <f>H136*AP136</f>
        <v>0</v>
      </c>
      <c r="BJ136" s="23">
        <f>H136*I136</f>
        <v>0</v>
      </c>
      <c r="BK136" s="23" t="s">
        <v>476</v>
      </c>
      <c r="BL136" s="38">
        <v>90</v>
      </c>
    </row>
    <row r="137" spans="1:14" ht="63.75" customHeight="1">
      <c r="A137" s="6"/>
      <c r="B137" s="16" t="s">
        <v>87</v>
      </c>
      <c r="C137" s="163" t="s">
        <v>305</v>
      </c>
      <c r="D137" s="164"/>
      <c r="E137" s="164"/>
      <c r="F137" s="164"/>
      <c r="G137" s="164"/>
      <c r="H137" s="164"/>
      <c r="I137" s="164"/>
      <c r="J137" s="164"/>
      <c r="K137" s="164"/>
      <c r="L137" s="164"/>
      <c r="M137" s="165"/>
      <c r="N137" s="6"/>
    </row>
    <row r="138" spans="1:14" ht="51" customHeight="1">
      <c r="A138" s="6"/>
      <c r="C138" s="163" t="s">
        <v>306</v>
      </c>
      <c r="D138" s="164"/>
      <c r="E138" s="164"/>
      <c r="F138" s="164"/>
      <c r="G138" s="164"/>
      <c r="H138" s="164"/>
      <c r="I138" s="164"/>
      <c r="J138" s="164"/>
      <c r="K138" s="164"/>
      <c r="L138" s="164"/>
      <c r="M138" s="165"/>
      <c r="N138" s="6"/>
    </row>
    <row r="139" spans="1:14" ht="38.25" customHeight="1">
      <c r="A139" s="6"/>
      <c r="B139" s="17" t="s">
        <v>84</v>
      </c>
      <c r="C139" s="166" t="s">
        <v>307</v>
      </c>
      <c r="D139" s="167"/>
      <c r="E139" s="167"/>
      <c r="F139" s="167"/>
      <c r="G139" s="167"/>
      <c r="H139" s="167"/>
      <c r="I139" s="167"/>
      <c r="J139" s="167"/>
      <c r="K139" s="167"/>
      <c r="L139" s="167"/>
      <c r="M139" s="168"/>
      <c r="N139" s="6"/>
    </row>
    <row r="140" spans="1:47" ht="12.75">
      <c r="A140" s="4"/>
      <c r="B140" s="14" t="s">
        <v>136</v>
      </c>
      <c r="C140" s="159" t="s">
        <v>308</v>
      </c>
      <c r="D140" s="160"/>
      <c r="E140" s="160"/>
      <c r="F140" s="160"/>
      <c r="G140" s="21" t="s">
        <v>6</v>
      </c>
      <c r="H140" s="21" t="s">
        <v>6</v>
      </c>
      <c r="I140" s="21" t="s">
        <v>6</v>
      </c>
      <c r="J140" s="44">
        <f>SUM(J141:J141)</f>
        <v>0</v>
      </c>
      <c r="K140" s="44">
        <f>SUM(K141:K141)</f>
        <v>0</v>
      </c>
      <c r="L140" s="44">
        <f>SUM(L141:L141)</f>
        <v>0</v>
      </c>
      <c r="M140" s="33"/>
      <c r="N140" s="6"/>
      <c r="AI140" s="37"/>
      <c r="AS140" s="44">
        <f>SUM(AJ141:AJ141)</f>
        <v>0</v>
      </c>
      <c r="AT140" s="44">
        <f>SUM(AK141:AK141)</f>
        <v>0</v>
      </c>
      <c r="AU140" s="44">
        <f>SUM(AL141:AL141)</f>
        <v>0</v>
      </c>
    </row>
    <row r="141" spans="1:64" ht="12.75">
      <c r="A141" s="5" t="s">
        <v>49</v>
      </c>
      <c r="B141" s="15" t="s">
        <v>137</v>
      </c>
      <c r="C141" s="161" t="s">
        <v>309</v>
      </c>
      <c r="D141" s="162"/>
      <c r="E141" s="162"/>
      <c r="F141" s="162"/>
      <c r="G141" s="15" t="s">
        <v>399</v>
      </c>
      <c r="H141" s="23">
        <v>1</v>
      </c>
      <c r="I141" s="23">
        <v>0</v>
      </c>
      <c r="J141" s="23">
        <f>H141*AO141</f>
        <v>0</v>
      </c>
      <c r="K141" s="23">
        <f>H141*AP141</f>
        <v>0</v>
      </c>
      <c r="L141" s="23">
        <f>H141*I141</f>
        <v>0</v>
      </c>
      <c r="M141" s="34"/>
      <c r="N141" s="6"/>
      <c r="Z141" s="38">
        <f>IF(AQ141="5",BJ141,0)</f>
        <v>0</v>
      </c>
      <c r="AB141" s="38">
        <f>IF(AQ141="1",BH141,0)</f>
        <v>0</v>
      </c>
      <c r="AC141" s="38">
        <f>IF(AQ141="1",BI141,0)</f>
        <v>0</v>
      </c>
      <c r="AD141" s="38">
        <f>IF(AQ141="7",BH141,0)</f>
        <v>0</v>
      </c>
      <c r="AE141" s="38">
        <f>IF(AQ141="7",BI141,0)</f>
        <v>0</v>
      </c>
      <c r="AF141" s="38">
        <f>IF(AQ141="2",BH141,0)</f>
        <v>0</v>
      </c>
      <c r="AG141" s="38">
        <f>IF(AQ141="2",BI141,0)</f>
        <v>0</v>
      </c>
      <c r="AH141" s="38">
        <f>IF(AQ141="0",BJ141,0)</f>
        <v>0</v>
      </c>
      <c r="AI141" s="37"/>
      <c r="AJ141" s="23">
        <f>IF(AN141=0,L141,0)</f>
        <v>0</v>
      </c>
      <c r="AK141" s="23">
        <f>IF(AN141=15,L141,0)</f>
        <v>0</v>
      </c>
      <c r="AL141" s="23">
        <f>IF(AN141=21,L141,0)</f>
        <v>0</v>
      </c>
      <c r="AN141" s="38">
        <v>21</v>
      </c>
      <c r="AO141" s="38">
        <f>I141*0</f>
        <v>0</v>
      </c>
      <c r="AP141" s="38">
        <f>I141*(1-0)</f>
        <v>0</v>
      </c>
      <c r="AQ141" s="39" t="s">
        <v>13</v>
      </c>
      <c r="AV141" s="38">
        <f>AW141+AX141</f>
        <v>0</v>
      </c>
      <c r="AW141" s="38">
        <f>H141*AO141</f>
        <v>0</v>
      </c>
      <c r="AX141" s="38">
        <f>H141*AP141</f>
        <v>0</v>
      </c>
      <c r="AY141" s="41" t="s">
        <v>447</v>
      </c>
      <c r="AZ141" s="41" t="s">
        <v>467</v>
      </c>
      <c r="BA141" s="37" t="s">
        <v>471</v>
      </c>
      <c r="BC141" s="38">
        <f>AW141+AX141</f>
        <v>0</v>
      </c>
      <c r="BD141" s="38">
        <f>I141/(100-BE141)*100</f>
        <v>0</v>
      </c>
      <c r="BE141" s="38">
        <v>0</v>
      </c>
      <c r="BF141" s="38">
        <f>141</f>
        <v>141</v>
      </c>
      <c r="BH141" s="23">
        <f>H141*AO141</f>
        <v>0</v>
      </c>
      <c r="BI141" s="23">
        <f>H141*AP141</f>
        <v>0</v>
      </c>
      <c r="BJ141" s="23">
        <f>H141*I141</f>
        <v>0</v>
      </c>
      <c r="BK141" s="23" t="s">
        <v>476</v>
      </c>
      <c r="BL141" s="38" t="s">
        <v>136</v>
      </c>
    </row>
    <row r="142" spans="1:14" ht="25.5" customHeight="1">
      <c r="A142" s="6"/>
      <c r="B142" s="17" t="s">
        <v>84</v>
      </c>
      <c r="C142" s="166" t="s">
        <v>310</v>
      </c>
      <c r="D142" s="167"/>
      <c r="E142" s="167"/>
      <c r="F142" s="167"/>
      <c r="G142" s="167"/>
      <c r="H142" s="167"/>
      <c r="I142" s="167"/>
      <c r="J142" s="167"/>
      <c r="K142" s="167"/>
      <c r="L142" s="167"/>
      <c r="M142" s="168"/>
      <c r="N142" s="6"/>
    </row>
    <row r="143" spans="1:47" ht="12.75">
      <c r="A143" s="4"/>
      <c r="B143" s="14" t="s">
        <v>138</v>
      </c>
      <c r="C143" s="159" t="s">
        <v>311</v>
      </c>
      <c r="D143" s="160"/>
      <c r="E143" s="160"/>
      <c r="F143" s="160"/>
      <c r="G143" s="21" t="s">
        <v>6</v>
      </c>
      <c r="H143" s="21" t="s">
        <v>6</v>
      </c>
      <c r="I143" s="21" t="s">
        <v>6</v>
      </c>
      <c r="J143" s="44">
        <f>SUM(J144:J159)</f>
        <v>0</v>
      </c>
      <c r="K143" s="44">
        <f>SUM(K144:K159)</f>
        <v>0</v>
      </c>
      <c r="L143" s="44">
        <f>SUM(L144:L159)</f>
        <v>0</v>
      </c>
      <c r="M143" s="33"/>
      <c r="N143" s="6"/>
      <c r="AI143" s="37"/>
      <c r="AS143" s="44">
        <f>SUM(AJ144:AJ159)</f>
        <v>0</v>
      </c>
      <c r="AT143" s="44">
        <f>SUM(AK144:AK159)</f>
        <v>0</v>
      </c>
      <c r="AU143" s="44">
        <f>SUM(AL144:AL159)</f>
        <v>0</v>
      </c>
    </row>
    <row r="144" spans="1:64" ht="12.75">
      <c r="A144" s="5" t="s">
        <v>50</v>
      </c>
      <c r="B144" s="15" t="s">
        <v>139</v>
      </c>
      <c r="C144" s="161" t="s">
        <v>312</v>
      </c>
      <c r="D144" s="162"/>
      <c r="E144" s="162"/>
      <c r="F144" s="162"/>
      <c r="G144" s="15" t="s">
        <v>394</v>
      </c>
      <c r="H144" s="23">
        <v>1069.222</v>
      </c>
      <c r="I144" s="23">
        <v>0</v>
      </c>
      <c r="J144" s="23">
        <f>H144*AO144</f>
        <v>0</v>
      </c>
      <c r="K144" s="23">
        <f>H144*AP144</f>
        <v>0</v>
      </c>
      <c r="L144" s="23">
        <f>H144*I144</f>
        <v>0</v>
      </c>
      <c r="M144" s="34" t="s">
        <v>420</v>
      </c>
      <c r="N144" s="6"/>
      <c r="Z144" s="38">
        <f>IF(AQ144="5",BJ144,0)</f>
        <v>0</v>
      </c>
      <c r="AB144" s="38">
        <f>IF(AQ144="1",BH144,0)</f>
        <v>0</v>
      </c>
      <c r="AC144" s="38">
        <f>IF(AQ144="1",BI144,0)</f>
        <v>0</v>
      </c>
      <c r="AD144" s="38">
        <f>IF(AQ144="7",BH144,0)</f>
        <v>0</v>
      </c>
      <c r="AE144" s="38">
        <f>IF(AQ144="7",BI144,0)</f>
        <v>0</v>
      </c>
      <c r="AF144" s="38">
        <f>IF(AQ144="2",BH144,0)</f>
        <v>0</v>
      </c>
      <c r="AG144" s="38">
        <f>IF(AQ144="2",BI144,0)</f>
        <v>0</v>
      </c>
      <c r="AH144" s="38">
        <f>IF(AQ144="0",BJ144,0)</f>
        <v>0</v>
      </c>
      <c r="AI144" s="37"/>
      <c r="AJ144" s="23">
        <f>IF(AN144=0,L144,0)</f>
        <v>0</v>
      </c>
      <c r="AK144" s="23">
        <f>IF(AN144=15,L144,0)</f>
        <v>0</v>
      </c>
      <c r="AL144" s="23">
        <f>IF(AN144=21,L144,0)</f>
        <v>0</v>
      </c>
      <c r="AN144" s="38">
        <v>21</v>
      </c>
      <c r="AO144" s="38">
        <f>I144*0</f>
        <v>0</v>
      </c>
      <c r="AP144" s="38">
        <f>I144*(1-0)</f>
        <v>0</v>
      </c>
      <c r="AQ144" s="39" t="s">
        <v>7</v>
      </c>
      <c r="AV144" s="38">
        <f>AW144+AX144</f>
        <v>0</v>
      </c>
      <c r="AW144" s="38">
        <f>H144*AO144</f>
        <v>0</v>
      </c>
      <c r="AX144" s="38">
        <f>H144*AP144</f>
        <v>0</v>
      </c>
      <c r="AY144" s="41" t="s">
        <v>448</v>
      </c>
      <c r="AZ144" s="41" t="s">
        <v>468</v>
      </c>
      <c r="BA144" s="37" t="s">
        <v>471</v>
      </c>
      <c r="BC144" s="38">
        <f>AW144+AX144</f>
        <v>0</v>
      </c>
      <c r="BD144" s="38">
        <f>I144/(100-BE144)*100</f>
        <v>0</v>
      </c>
      <c r="BE144" s="38">
        <v>0</v>
      </c>
      <c r="BF144" s="38">
        <f>144</f>
        <v>144</v>
      </c>
      <c r="BH144" s="23">
        <f>H144*AO144</f>
        <v>0</v>
      </c>
      <c r="BI144" s="23">
        <f>H144*AP144</f>
        <v>0</v>
      </c>
      <c r="BJ144" s="23">
        <f>H144*I144</f>
        <v>0</v>
      </c>
      <c r="BK144" s="23" t="s">
        <v>476</v>
      </c>
      <c r="BL144" s="38">
        <v>94</v>
      </c>
    </row>
    <row r="145" spans="1:14" ht="12.75">
      <c r="A145" s="6"/>
      <c r="B145" s="16" t="s">
        <v>90</v>
      </c>
      <c r="C145" s="169" t="s">
        <v>313</v>
      </c>
      <c r="D145" s="170"/>
      <c r="E145" s="170"/>
      <c r="F145" s="170"/>
      <c r="G145" s="170"/>
      <c r="H145" s="170"/>
      <c r="I145" s="170"/>
      <c r="J145" s="170"/>
      <c r="K145" s="170"/>
      <c r="L145" s="170"/>
      <c r="M145" s="171"/>
      <c r="N145" s="6"/>
    </row>
    <row r="146" spans="1:14" ht="12.75">
      <c r="A146" s="6"/>
      <c r="B146" s="16" t="s">
        <v>87</v>
      </c>
      <c r="C146" s="163" t="s">
        <v>314</v>
      </c>
      <c r="D146" s="164"/>
      <c r="E146" s="164"/>
      <c r="F146" s="164"/>
      <c r="G146" s="164"/>
      <c r="H146" s="164"/>
      <c r="I146" s="164"/>
      <c r="J146" s="164"/>
      <c r="K146" s="164"/>
      <c r="L146" s="164"/>
      <c r="M146" s="165"/>
      <c r="N146" s="6"/>
    </row>
    <row r="147" spans="1:64" ht="12.75">
      <c r="A147" s="5" t="s">
        <v>51</v>
      </c>
      <c r="B147" s="15" t="s">
        <v>140</v>
      </c>
      <c r="C147" s="161" t="s">
        <v>315</v>
      </c>
      <c r="D147" s="162"/>
      <c r="E147" s="162"/>
      <c r="F147" s="162"/>
      <c r="G147" s="15" t="s">
        <v>394</v>
      </c>
      <c r="H147" s="23">
        <v>1069.222</v>
      </c>
      <c r="I147" s="23">
        <v>0</v>
      </c>
      <c r="J147" s="23">
        <f>H147*AO147</f>
        <v>0</v>
      </c>
      <c r="K147" s="23">
        <f>H147*AP147</f>
        <v>0</v>
      </c>
      <c r="L147" s="23">
        <f>H147*I147</f>
        <v>0</v>
      </c>
      <c r="M147" s="34" t="s">
        <v>420</v>
      </c>
      <c r="N147" s="6"/>
      <c r="Z147" s="38">
        <f>IF(AQ147="5",BJ147,0)</f>
        <v>0</v>
      </c>
      <c r="AB147" s="38">
        <f>IF(AQ147="1",BH147,0)</f>
        <v>0</v>
      </c>
      <c r="AC147" s="38">
        <f>IF(AQ147="1",BI147,0)</f>
        <v>0</v>
      </c>
      <c r="AD147" s="38">
        <f>IF(AQ147="7",BH147,0)</f>
        <v>0</v>
      </c>
      <c r="AE147" s="38">
        <f>IF(AQ147="7",BI147,0)</f>
        <v>0</v>
      </c>
      <c r="AF147" s="38">
        <f>IF(AQ147="2",BH147,0)</f>
        <v>0</v>
      </c>
      <c r="AG147" s="38">
        <f>IF(AQ147="2",BI147,0)</f>
        <v>0</v>
      </c>
      <c r="AH147" s="38">
        <f>IF(AQ147="0",BJ147,0)</f>
        <v>0</v>
      </c>
      <c r="AI147" s="37"/>
      <c r="AJ147" s="23">
        <f>IF(AN147=0,L147,0)</f>
        <v>0</v>
      </c>
      <c r="AK147" s="23">
        <f>IF(AN147=15,L147,0)</f>
        <v>0</v>
      </c>
      <c r="AL147" s="23">
        <f>IF(AN147=21,L147,0)</f>
        <v>0</v>
      </c>
      <c r="AN147" s="38">
        <v>21</v>
      </c>
      <c r="AO147" s="38">
        <f>I147*0</f>
        <v>0</v>
      </c>
      <c r="AP147" s="38">
        <f>I147*(1-0)</f>
        <v>0</v>
      </c>
      <c r="AQ147" s="39" t="s">
        <v>7</v>
      </c>
      <c r="AV147" s="38">
        <f>AW147+AX147</f>
        <v>0</v>
      </c>
      <c r="AW147" s="38">
        <f>H147*AO147</f>
        <v>0</v>
      </c>
      <c r="AX147" s="38">
        <f>H147*AP147</f>
        <v>0</v>
      </c>
      <c r="AY147" s="41" t="s">
        <v>448</v>
      </c>
      <c r="AZ147" s="41" t="s">
        <v>468</v>
      </c>
      <c r="BA147" s="37" t="s">
        <v>471</v>
      </c>
      <c r="BC147" s="38">
        <f>AW147+AX147</f>
        <v>0</v>
      </c>
      <c r="BD147" s="38">
        <f>I147/(100-BE147)*100</f>
        <v>0</v>
      </c>
      <c r="BE147" s="38">
        <v>0</v>
      </c>
      <c r="BF147" s="38">
        <f>147</f>
        <v>147</v>
      </c>
      <c r="BH147" s="23">
        <f>H147*AO147</f>
        <v>0</v>
      </c>
      <c r="BI147" s="23">
        <f>H147*AP147</f>
        <v>0</v>
      </c>
      <c r="BJ147" s="23">
        <f>H147*I147</f>
        <v>0</v>
      </c>
      <c r="BK147" s="23" t="s">
        <v>476</v>
      </c>
      <c r="BL147" s="38">
        <v>94</v>
      </c>
    </row>
    <row r="148" spans="1:14" ht="12.75">
      <c r="A148" s="6"/>
      <c r="B148" s="16" t="s">
        <v>90</v>
      </c>
      <c r="C148" s="169" t="s">
        <v>313</v>
      </c>
      <c r="D148" s="170"/>
      <c r="E148" s="170"/>
      <c r="F148" s="170"/>
      <c r="G148" s="170"/>
      <c r="H148" s="170"/>
      <c r="I148" s="170"/>
      <c r="J148" s="170"/>
      <c r="K148" s="170"/>
      <c r="L148" s="170"/>
      <c r="M148" s="171"/>
      <c r="N148" s="6"/>
    </row>
    <row r="149" spans="1:14" ht="12.75">
      <c r="A149" s="6"/>
      <c r="B149" s="16" t="s">
        <v>87</v>
      </c>
      <c r="C149" s="163" t="s">
        <v>316</v>
      </c>
      <c r="D149" s="164"/>
      <c r="E149" s="164"/>
      <c r="F149" s="164"/>
      <c r="G149" s="164"/>
      <c r="H149" s="164"/>
      <c r="I149" s="164"/>
      <c r="J149" s="164"/>
      <c r="K149" s="164"/>
      <c r="L149" s="164"/>
      <c r="M149" s="165"/>
      <c r="N149" s="6"/>
    </row>
    <row r="150" spans="1:64" ht="12.75">
      <c r="A150" s="5" t="s">
        <v>52</v>
      </c>
      <c r="B150" s="15" t="s">
        <v>141</v>
      </c>
      <c r="C150" s="161" t="s">
        <v>317</v>
      </c>
      <c r="D150" s="162"/>
      <c r="E150" s="162"/>
      <c r="F150" s="162"/>
      <c r="G150" s="15" t="s">
        <v>394</v>
      </c>
      <c r="H150" s="23">
        <v>128306.64</v>
      </c>
      <c r="I150" s="23">
        <v>0</v>
      </c>
      <c r="J150" s="23">
        <f>H150*AO150</f>
        <v>0</v>
      </c>
      <c r="K150" s="23">
        <f>H150*AP150</f>
        <v>0</v>
      </c>
      <c r="L150" s="23">
        <f>H150*I150</f>
        <v>0</v>
      </c>
      <c r="M150" s="34" t="s">
        <v>420</v>
      </c>
      <c r="N150" s="6"/>
      <c r="Z150" s="38">
        <f>IF(AQ150="5",BJ150,0)</f>
        <v>0</v>
      </c>
      <c r="AB150" s="38">
        <f>IF(AQ150="1",BH150,0)</f>
        <v>0</v>
      </c>
      <c r="AC150" s="38">
        <f>IF(AQ150="1",BI150,0)</f>
        <v>0</v>
      </c>
      <c r="AD150" s="38">
        <f>IF(AQ150="7",BH150,0)</f>
        <v>0</v>
      </c>
      <c r="AE150" s="38">
        <f>IF(AQ150="7",BI150,0)</f>
        <v>0</v>
      </c>
      <c r="AF150" s="38">
        <f>IF(AQ150="2",BH150,0)</f>
        <v>0</v>
      </c>
      <c r="AG150" s="38">
        <f>IF(AQ150="2",BI150,0)</f>
        <v>0</v>
      </c>
      <c r="AH150" s="38">
        <f>IF(AQ150="0",BJ150,0)</f>
        <v>0</v>
      </c>
      <c r="AI150" s="37"/>
      <c r="AJ150" s="23">
        <f>IF(AN150=0,L150,0)</f>
        <v>0</v>
      </c>
      <c r="AK150" s="23">
        <f>IF(AN150=15,L150,0)</f>
        <v>0</v>
      </c>
      <c r="AL150" s="23">
        <f>IF(AN150=21,L150,0)</f>
        <v>0</v>
      </c>
      <c r="AN150" s="38">
        <v>21</v>
      </c>
      <c r="AO150" s="38">
        <f>I150*0</f>
        <v>0</v>
      </c>
      <c r="AP150" s="38">
        <f>I150*(1-0)</f>
        <v>0</v>
      </c>
      <c r="AQ150" s="39" t="s">
        <v>7</v>
      </c>
      <c r="AV150" s="38">
        <f>AW150+AX150</f>
        <v>0</v>
      </c>
      <c r="AW150" s="38">
        <f>H150*AO150</f>
        <v>0</v>
      </c>
      <c r="AX150" s="38">
        <f>H150*AP150</f>
        <v>0</v>
      </c>
      <c r="AY150" s="41" t="s">
        <v>448</v>
      </c>
      <c r="AZ150" s="41" t="s">
        <v>468</v>
      </c>
      <c r="BA150" s="37" t="s">
        <v>471</v>
      </c>
      <c r="BC150" s="38">
        <f>AW150+AX150</f>
        <v>0</v>
      </c>
      <c r="BD150" s="38">
        <f>I150/(100-BE150)*100</f>
        <v>0</v>
      </c>
      <c r="BE150" s="38">
        <v>0</v>
      </c>
      <c r="BF150" s="38">
        <f>150</f>
        <v>150</v>
      </c>
      <c r="BH150" s="23">
        <f>H150*AO150</f>
        <v>0</v>
      </c>
      <c r="BI150" s="23">
        <f>H150*AP150</f>
        <v>0</v>
      </c>
      <c r="BJ150" s="23">
        <f>H150*I150</f>
        <v>0</v>
      </c>
      <c r="BK150" s="23" t="s">
        <v>476</v>
      </c>
      <c r="BL150" s="38">
        <v>94</v>
      </c>
    </row>
    <row r="151" spans="1:14" ht="12.75">
      <c r="A151" s="6"/>
      <c r="B151" s="16" t="s">
        <v>87</v>
      </c>
      <c r="C151" s="163" t="s">
        <v>318</v>
      </c>
      <c r="D151" s="164"/>
      <c r="E151" s="164"/>
      <c r="F151" s="164"/>
      <c r="G151" s="164"/>
      <c r="H151" s="164"/>
      <c r="I151" s="164"/>
      <c r="J151" s="164"/>
      <c r="K151" s="164"/>
      <c r="L151" s="164"/>
      <c r="M151" s="165"/>
      <c r="N151" s="6"/>
    </row>
    <row r="152" spans="1:14" ht="12.75">
      <c r="A152" s="6"/>
      <c r="B152" s="17" t="s">
        <v>84</v>
      </c>
      <c r="C152" s="166" t="s">
        <v>319</v>
      </c>
      <c r="D152" s="167"/>
      <c r="E152" s="167"/>
      <c r="F152" s="167"/>
      <c r="G152" s="167"/>
      <c r="H152" s="167"/>
      <c r="I152" s="167"/>
      <c r="J152" s="167"/>
      <c r="K152" s="167"/>
      <c r="L152" s="167"/>
      <c r="M152" s="168"/>
      <c r="N152" s="6"/>
    </row>
    <row r="153" spans="1:64" ht="12.75">
      <c r="A153" s="5" t="s">
        <v>53</v>
      </c>
      <c r="B153" s="15" t="s">
        <v>142</v>
      </c>
      <c r="C153" s="161" t="s">
        <v>320</v>
      </c>
      <c r="D153" s="162"/>
      <c r="E153" s="162"/>
      <c r="F153" s="162"/>
      <c r="G153" s="15" t="s">
        <v>394</v>
      </c>
      <c r="H153" s="23">
        <v>1069.222</v>
      </c>
      <c r="I153" s="23">
        <v>0</v>
      </c>
      <c r="J153" s="23">
        <f>H153*AO153</f>
        <v>0</v>
      </c>
      <c r="K153" s="23">
        <f>H153*AP153</f>
        <v>0</v>
      </c>
      <c r="L153" s="23">
        <f>H153*I153</f>
        <v>0</v>
      </c>
      <c r="M153" s="34" t="s">
        <v>420</v>
      </c>
      <c r="N153" s="6"/>
      <c r="Z153" s="38">
        <f>IF(AQ153="5",BJ153,0)</f>
        <v>0</v>
      </c>
      <c r="AB153" s="38">
        <f>IF(AQ153="1",BH153,0)</f>
        <v>0</v>
      </c>
      <c r="AC153" s="38">
        <f>IF(AQ153="1",BI153,0)</f>
        <v>0</v>
      </c>
      <c r="AD153" s="38">
        <f>IF(AQ153="7",BH153,0)</f>
        <v>0</v>
      </c>
      <c r="AE153" s="38">
        <f>IF(AQ153="7",BI153,0)</f>
        <v>0</v>
      </c>
      <c r="AF153" s="38">
        <f>IF(AQ153="2",BH153,0)</f>
        <v>0</v>
      </c>
      <c r="AG153" s="38">
        <f>IF(AQ153="2",BI153,0)</f>
        <v>0</v>
      </c>
      <c r="AH153" s="38">
        <f>IF(AQ153="0",BJ153,0)</f>
        <v>0</v>
      </c>
      <c r="AI153" s="37"/>
      <c r="AJ153" s="23">
        <f>IF(AN153=0,L153,0)</f>
        <v>0</v>
      </c>
      <c r="AK153" s="23">
        <f>IF(AN153=15,L153,0)</f>
        <v>0</v>
      </c>
      <c r="AL153" s="23">
        <f>IF(AN153=21,L153,0)</f>
        <v>0</v>
      </c>
      <c r="AN153" s="38">
        <v>21</v>
      </c>
      <c r="AO153" s="38">
        <f>I153*0</f>
        <v>0</v>
      </c>
      <c r="AP153" s="38">
        <f>I153*(1-0)</f>
        <v>0</v>
      </c>
      <c r="AQ153" s="39" t="s">
        <v>7</v>
      </c>
      <c r="AV153" s="38">
        <f>AW153+AX153</f>
        <v>0</v>
      </c>
      <c r="AW153" s="38">
        <f>H153*AO153</f>
        <v>0</v>
      </c>
      <c r="AX153" s="38">
        <f>H153*AP153</f>
        <v>0</v>
      </c>
      <c r="AY153" s="41" t="s">
        <v>448</v>
      </c>
      <c r="AZ153" s="41" t="s">
        <v>468</v>
      </c>
      <c r="BA153" s="37" t="s">
        <v>471</v>
      </c>
      <c r="BC153" s="38">
        <f>AW153+AX153</f>
        <v>0</v>
      </c>
      <c r="BD153" s="38">
        <f>I153/(100-BE153)*100</f>
        <v>0</v>
      </c>
      <c r="BE153" s="38">
        <v>0</v>
      </c>
      <c r="BF153" s="38">
        <f>153</f>
        <v>153</v>
      </c>
      <c r="BH153" s="23">
        <f>H153*AO153</f>
        <v>0</v>
      </c>
      <c r="BI153" s="23">
        <f>H153*AP153</f>
        <v>0</v>
      </c>
      <c r="BJ153" s="23">
        <f>H153*I153</f>
        <v>0</v>
      </c>
      <c r="BK153" s="23" t="s">
        <v>476</v>
      </c>
      <c r="BL153" s="38">
        <v>94</v>
      </c>
    </row>
    <row r="154" spans="1:64" ht="12.75">
      <c r="A154" s="5" t="s">
        <v>54</v>
      </c>
      <c r="B154" s="15" t="s">
        <v>143</v>
      </c>
      <c r="C154" s="161" t="s">
        <v>321</v>
      </c>
      <c r="D154" s="162"/>
      <c r="E154" s="162"/>
      <c r="F154" s="162"/>
      <c r="G154" s="15" t="s">
        <v>400</v>
      </c>
      <c r="H154" s="23">
        <v>200</v>
      </c>
      <c r="I154" s="23">
        <v>0</v>
      </c>
      <c r="J154" s="23">
        <f>H154*AO154</f>
        <v>0</v>
      </c>
      <c r="K154" s="23">
        <f>H154*AP154</f>
        <v>0</v>
      </c>
      <c r="L154" s="23">
        <f>H154*I154</f>
        <v>0</v>
      </c>
      <c r="M154" s="34" t="s">
        <v>420</v>
      </c>
      <c r="N154" s="6"/>
      <c r="Z154" s="38">
        <f>IF(AQ154="5",BJ154,0)</f>
        <v>0</v>
      </c>
      <c r="AB154" s="38">
        <f>IF(AQ154="1",BH154,0)</f>
        <v>0</v>
      </c>
      <c r="AC154" s="38">
        <f>IF(AQ154="1",BI154,0)</f>
        <v>0</v>
      </c>
      <c r="AD154" s="38">
        <f>IF(AQ154="7",BH154,0)</f>
        <v>0</v>
      </c>
      <c r="AE154" s="38">
        <f>IF(AQ154="7",BI154,0)</f>
        <v>0</v>
      </c>
      <c r="AF154" s="38">
        <f>IF(AQ154="2",BH154,0)</f>
        <v>0</v>
      </c>
      <c r="AG154" s="38">
        <f>IF(AQ154="2",BI154,0)</f>
        <v>0</v>
      </c>
      <c r="AH154" s="38">
        <f>IF(AQ154="0",BJ154,0)</f>
        <v>0</v>
      </c>
      <c r="AI154" s="37"/>
      <c r="AJ154" s="23">
        <f>IF(AN154=0,L154,0)</f>
        <v>0</v>
      </c>
      <c r="AK154" s="23">
        <f>IF(AN154=15,L154,0)</f>
        <v>0</v>
      </c>
      <c r="AL154" s="23">
        <f>IF(AN154=21,L154,0)</f>
        <v>0</v>
      </c>
      <c r="AN154" s="38">
        <v>21</v>
      </c>
      <c r="AO154" s="38">
        <f>I154*0</f>
        <v>0</v>
      </c>
      <c r="AP154" s="38">
        <f>I154*(1-0)</f>
        <v>0</v>
      </c>
      <c r="AQ154" s="39" t="s">
        <v>7</v>
      </c>
      <c r="AV154" s="38">
        <f>AW154+AX154</f>
        <v>0</v>
      </c>
      <c r="AW154" s="38">
        <f>H154*AO154</f>
        <v>0</v>
      </c>
      <c r="AX154" s="38">
        <f>H154*AP154</f>
        <v>0</v>
      </c>
      <c r="AY154" s="41" t="s">
        <v>448</v>
      </c>
      <c r="AZ154" s="41" t="s">
        <v>468</v>
      </c>
      <c r="BA154" s="37" t="s">
        <v>471</v>
      </c>
      <c r="BC154" s="38">
        <f>AW154+AX154</f>
        <v>0</v>
      </c>
      <c r="BD154" s="38">
        <f>I154/(100-BE154)*100</f>
        <v>0</v>
      </c>
      <c r="BE154" s="38">
        <v>0</v>
      </c>
      <c r="BF154" s="38">
        <f>154</f>
        <v>154</v>
      </c>
      <c r="BH154" s="23">
        <f>H154*AO154</f>
        <v>0</v>
      </c>
      <c r="BI154" s="23">
        <f>H154*AP154</f>
        <v>0</v>
      </c>
      <c r="BJ154" s="23">
        <f>H154*I154</f>
        <v>0</v>
      </c>
      <c r="BK154" s="23" t="s">
        <v>476</v>
      </c>
      <c r="BL154" s="38">
        <v>94</v>
      </c>
    </row>
    <row r="155" spans="1:14" ht="12.75">
      <c r="A155" s="6"/>
      <c r="B155" s="16" t="s">
        <v>90</v>
      </c>
      <c r="C155" s="169" t="s">
        <v>201</v>
      </c>
      <c r="D155" s="170"/>
      <c r="E155" s="170"/>
      <c r="F155" s="170"/>
      <c r="G155" s="170"/>
      <c r="H155" s="170"/>
      <c r="I155" s="170"/>
      <c r="J155" s="170"/>
      <c r="K155" s="170"/>
      <c r="L155" s="170"/>
      <c r="M155" s="171"/>
      <c r="N155" s="6"/>
    </row>
    <row r="156" spans="1:14" ht="25.5" customHeight="1">
      <c r="A156" s="6"/>
      <c r="B156" s="16" t="s">
        <v>87</v>
      </c>
      <c r="C156" s="163" t="s">
        <v>322</v>
      </c>
      <c r="D156" s="164"/>
      <c r="E156" s="164"/>
      <c r="F156" s="164"/>
      <c r="G156" s="164"/>
      <c r="H156" s="164"/>
      <c r="I156" s="164"/>
      <c r="J156" s="164"/>
      <c r="K156" s="164"/>
      <c r="L156" s="164"/>
      <c r="M156" s="165"/>
      <c r="N156" s="6"/>
    </row>
    <row r="157" spans="1:14" ht="12.75">
      <c r="A157" s="6"/>
      <c r="B157" s="17" t="s">
        <v>84</v>
      </c>
      <c r="C157" s="166" t="s">
        <v>323</v>
      </c>
      <c r="D157" s="167"/>
      <c r="E157" s="167"/>
      <c r="F157" s="167"/>
      <c r="G157" s="167"/>
      <c r="H157" s="167"/>
      <c r="I157" s="167"/>
      <c r="J157" s="167"/>
      <c r="K157" s="167"/>
      <c r="L157" s="167"/>
      <c r="M157" s="168"/>
      <c r="N157" s="6"/>
    </row>
    <row r="158" spans="1:64" ht="12.75">
      <c r="A158" s="5" t="s">
        <v>55</v>
      </c>
      <c r="B158" s="15" t="s">
        <v>144</v>
      </c>
      <c r="C158" s="161" t="s">
        <v>324</v>
      </c>
      <c r="D158" s="162"/>
      <c r="E158" s="162"/>
      <c r="F158" s="162"/>
      <c r="G158" s="15" t="s">
        <v>394</v>
      </c>
      <c r="H158" s="23">
        <v>1069.222</v>
      </c>
      <c r="I158" s="23">
        <v>0</v>
      </c>
      <c r="J158" s="23">
        <f>H158*AO158</f>
        <v>0</v>
      </c>
      <c r="K158" s="23">
        <f>H158*AP158</f>
        <v>0</v>
      </c>
      <c r="L158" s="23">
        <f>H158*I158</f>
        <v>0</v>
      </c>
      <c r="M158" s="34" t="s">
        <v>420</v>
      </c>
      <c r="N158" s="6"/>
      <c r="Z158" s="38">
        <f>IF(AQ158="5",BJ158,0)</f>
        <v>0</v>
      </c>
      <c r="AB158" s="38">
        <f>IF(AQ158="1",BH158,0)</f>
        <v>0</v>
      </c>
      <c r="AC158" s="38">
        <f>IF(AQ158="1",BI158,0)</f>
        <v>0</v>
      </c>
      <c r="AD158" s="38">
        <f>IF(AQ158="7",BH158,0)</f>
        <v>0</v>
      </c>
      <c r="AE158" s="38">
        <f>IF(AQ158="7",BI158,0)</f>
        <v>0</v>
      </c>
      <c r="AF158" s="38">
        <f>IF(AQ158="2",BH158,0)</f>
        <v>0</v>
      </c>
      <c r="AG158" s="38">
        <f>IF(AQ158="2",BI158,0)</f>
        <v>0</v>
      </c>
      <c r="AH158" s="38">
        <f>IF(AQ158="0",BJ158,0)</f>
        <v>0</v>
      </c>
      <c r="AI158" s="37"/>
      <c r="AJ158" s="23">
        <f>IF(AN158=0,L158,0)</f>
        <v>0</v>
      </c>
      <c r="AK158" s="23">
        <f>IF(AN158=15,L158,0)</f>
        <v>0</v>
      </c>
      <c r="AL158" s="23">
        <f>IF(AN158=21,L158,0)</f>
        <v>0</v>
      </c>
      <c r="AN158" s="38">
        <v>21</v>
      </c>
      <c r="AO158" s="38">
        <f>I158*0</f>
        <v>0</v>
      </c>
      <c r="AP158" s="38">
        <f>I158*(1-0)</f>
        <v>0</v>
      </c>
      <c r="AQ158" s="39" t="s">
        <v>7</v>
      </c>
      <c r="AV158" s="38">
        <f>AW158+AX158</f>
        <v>0</v>
      </c>
      <c r="AW158" s="38">
        <f>H158*AO158</f>
        <v>0</v>
      </c>
      <c r="AX158" s="38">
        <f>H158*AP158</f>
        <v>0</v>
      </c>
      <c r="AY158" s="41" t="s">
        <v>448</v>
      </c>
      <c r="AZ158" s="41" t="s">
        <v>468</v>
      </c>
      <c r="BA158" s="37" t="s">
        <v>471</v>
      </c>
      <c r="BC158" s="38">
        <f>AW158+AX158</f>
        <v>0</v>
      </c>
      <c r="BD158" s="38">
        <f>I158/(100-BE158)*100</f>
        <v>0</v>
      </c>
      <c r="BE158" s="38">
        <v>0</v>
      </c>
      <c r="BF158" s="38">
        <f>158</f>
        <v>158</v>
      </c>
      <c r="BH158" s="23">
        <f>H158*AO158</f>
        <v>0</v>
      </c>
      <c r="BI158" s="23">
        <f>H158*AP158</f>
        <v>0</v>
      </c>
      <c r="BJ158" s="23">
        <f>H158*I158</f>
        <v>0</v>
      </c>
      <c r="BK158" s="23" t="s">
        <v>476</v>
      </c>
      <c r="BL158" s="38">
        <v>94</v>
      </c>
    </row>
    <row r="159" spans="1:64" ht="12.75">
      <c r="A159" s="5" t="s">
        <v>56</v>
      </c>
      <c r="B159" s="15" t="s">
        <v>145</v>
      </c>
      <c r="C159" s="161" t="s">
        <v>325</v>
      </c>
      <c r="D159" s="162"/>
      <c r="E159" s="162"/>
      <c r="F159" s="162"/>
      <c r="G159" s="15" t="s">
        <v>394</v>
      </c>
      <c r="H159" s="23">
        <v>1069.222</v>
      </c>
      <c r="I159" s="23">
        <v>0</v>
      </c>
      <c r="J159" s="23">
        <f>H159*AO159</f>
        <v>0</v>
      </c>
      <c r="K159" s="23">
        <f>H159*AP159</f>
        <v>0</v>
      </c>
      <c r="L159" s="23">
        <f>H159*I159</f>
        <v>0</v>
      </c>
      <c r="M159" s="34" t="s">
        <v>420</v>
      </c>
      <c r="N159" s="6"/>
      <c r="Z159" s="38">
        <f>IF(AQ159="5",BJ159,0)</f>
        <v>0</v>
      </c>
      <c r="AB159" s="38">
        <f>IF(AQ159="1",BH159,0)</f>
        <v>0</v>
      </c>
      <c r="AC159" s="38">
        <f>IF(AQ159="1",BI159,0)</f>
        <v>0</v>
      </c>
      <c r="AD159" s="38">
        <f>IF(AQ159="7",BH159,0)</f>
        <v>0</v>
      </c>
      <c r="AE159" s="38">
        <f>IF(AQ159="7",BI159,0)</f>
        <v>0</v>
      </c>
      <c r="AF159" s="38">
        <f>IF(AQ159="2",BH159,0)</f>
        <v>0</v>
      </c>
      <c r="AG159" s="38">
        <f>IF(AQ159="2",BI159,0)</f>
        <v>0</v>
      </c>
      <c r="AH159" s="38">
        <f>IF(AQ159="0",BJ159,0)</f>
        <v>0</v>
      </c>
      <c r="AI159" s="37"/>
      <c r="AJ159" s="23">
        <f>IF(AN159=0,L159,0)</f>
        <v>0</v>
      </c>
      <c r="AK159" s="23">
        <f>IF(AN159=15,L159,0)</f>
        <v>0</v>
      </c>
      <c r="AL159" s="23">
        <f>IF(AN159=21,L159,0)</f>
        <v>0</v>
      </c>
      <c r="AN159" s="38">
        <v>21</v>
      </c>
      <c r="AO159" s="38">
        <f>I159*0.999999927122644</f>
        <v>0</v>
      </c>
      <c r="AP159" s="38">
        <f>I159*(1-0.999999927122644)</f>
        <v>0</v>
      </c>
      <c r="AQ159" s="39" t="s">
        <v>7</v>
      </c>
      <c r="AV159" s="38">
        <f>AW159+AX159</f>
        <v>0</v>
      </c>
      <c r="AW159" s="38">
        <f>H159*AO159</f>
        <v>0</v>
      </c>
      <c r="AX159" s="38">
        <f>H159*AP159</f>
        <v>0</v>
      </c>
      <c r="AY159" s="41" t="s">
        <v>448</v>
      </c>
      <c r="AZ159" s="41" t="s">
        <v>468</v>
      </c>
      <c r="BA159" s="37" t="s">
        <v>471</v>
      </c>
      <c r="BC159" s="38">
        <f>AW159+AX159</f>
        <v>0</v>
      </c>
      <c r="BD159" s="38">
        <f>I159/(100-BE159)*100</f>
        <v>0</v>
      </c>
      <c r="BE159" s="38">
        <v>0</v>
      </c>
      <c r="BF159" s="38">
        <f>159</f>
        <v>159</v>
      </c>
      <c r="BH159" s="23">
        <f>H159*AO159</f>
        <v>0</v>
      </c>
      <c r="BI159" s="23">
        <f>H159*AP159</f>
        <v>0</v>
      </c>
      <c r="BJ159" s="23">
        <f>H159*I159</f>
        <v>0</v>
      </c>
      <c r="BK159" s="23" t="s">
        <v>476</v>
      </c>
      <c r="BL159" s="38">
        <v>94</v>
      </c>
    </row>
    <row r="160" spans="1:47" ht="12.75">
      <c r="A160" s="4"/>
      <c r="B160" s="14" t="s">
        <v>146</v>
      </c>
      <c r="C160" s="159" t="s">
        <v>326</v>
      </c>
      <c r="D160" s="160"/>
      <c r="E160" s="160"/>
      <c r="F160" s="160"/>
      <c r="G160" s="21" t="s">
        <v>6</v>
      </c>
      <c r="H160" s="21" t="s">
        <v>6</v>
      </c>
      <c r="I160" s="21" t="s">
        <v>6</v>
      </c>
      <c r="J160" s="44">
        <f>SUM(J161:J166)</f>
        <v>0</v>
      </c>
      <c r="K160" s="44">
        <f>SUM(K161:K166)</f>
        <v>0</v>
      </c>
      <c r="L160" s="44">
        <f>SUM(L161:L166)</f>
        <v>0</v>
      </c>
      <c r="M160" s="33"/>
      <c r="N160" s="6"/>
      <c r="AI160" s="37"/>
      <c r="AS160" s="44">
        <f>SUM(AJ161:AJ166)</f>
        <v>0</v>
      </c>
      <c r="AT160" s="44">
        <f>SUM(AK161:AK166)</f>
        <v>0</v>
      </c>
      <c r="AU160" s="44">
        <f>SUM(AL161:AL166)</f>
        <v>0</v>
      </c>
    </row>
    <row r="161" spans="1:64" ht="12.75">
      <c r="A161" s="5" t="s">
        <v>57</v>
      </c>
      <c r="B161" s="15" t="s">
        <v>147</v>
      </c>
      <c r="C161" s="161" t="s">
        <v>327</v>
      </c>
      <c r="D161" s="162"/>
      <c r="E161" s="162"/>
      <c r="F161" s="162"/>
      <c r="G161" s="15" t="s">
        <v>394</v>
      </c>
      <c r="H161" s="23">
        <v>253.66</v>
      </c>
      <c r="I161" s="23">
        <v>0</v>
      </c>
      <c r="J161" s="23">
        <f>H161*AO161</f>
        <v>0</v>
      </c>
      <c r="K161" s="23">
        <f>H161*AP161</f>
        <v>0</v>
      </c>
      <c r="L161" s="23">
        <f>H161*I161</f>
        <v>0</v>
      </c>
      <c r="M161" s="34" t="s">
        <v>420</v>
      </c>
      <c r="N161" s="6"/>
      <c r="Z161" s="38">
        <f>IF(AQ161="5",BJ161,0)</f>
        <v>0</v>
      </c>
      <c r="AB161" s="38">
        <f>IF(AQ161="1",BH161,0)</f>
        <v>0</v>
      </c>
      <c r="AC161" s="38">
        <f>IF(AQ161="1",BI161,0)</f>
        <v>0</v>
      </c>
      <c r="AD161" s="38">
        <f>IF(AQ161="7",BH161,0)</f>
        <v>0</v>
      </c>
      <c r="AE161" s="38">
        <f>IF(AQ161="7",BI161,0)</f>
        <v>0</v>
      </c>
      <c r="AF161" s="38">
        <f>IF(AQ161="2",BH161,0)</f>
        <v>0</v>
      </c>
      <c r="AG161" s="38">
        <f>IF(AQ161="2",BI161,0)</f>
        <v>0</v>
      </c>
      <c r="AH161" s="38">
        <f>IF(AQ161="0",BJ161,0)</f>
        <v>0</v>
      </c>
      <c r="AI161" s="37"/>
      <c r="AJ161" s="23">
        <f>IF(AN161=0,L161,0)</f>
        <v>0</v>
      </c>
      <c r="AK161" s="23">
        <f>IF(AN161=15,L161,0)</f>
        <v>0</v>
      </c>
      <c r="AL161" s="23">
        <f>IF(AN161=21,L161,0)</f>
        <v>0</v>
      </c>
      <c r="AN161" s="38">
        <v>21</v>
      </c>
      <c r="AO161" s="38">
        <f>I161*0.0192460377677274</f>
        <v>0</v>
      </c>
      <c r="AP161" s="38">
        <f>I161*(1-0.0192460377677274)</f>
        <v>0</v>
      </c>
      <c r="AQ161" s="39" t="s">
        <v>7</v>
      </c>
      <c r="AV161" s="38">
        <f>AW161+AX161</f>
        <v>0</v>
      </c>
      <c r="AW161" s="38">
        <f>H161*AO161</f>
        <v>0</v>
      </c>
      <c r="AX161" s="38">
        <f>H161*AP161</f>
        <v>0</v>
      </c>
      <c r="AY161" s="41" t="s">
        <v>449</v>
      </c>
      <c r="AZ161" s="41" t="s">
        <v>468</v>
      </c>
      <c r="BA161" s="37" t="s">
        <v>471</v>
      </c>
      <c r="BC161" s="38">
        <f>AW161+AX161</f>
        <v>0</v>
      </c>
      <c r="BD161" s="38">
        <f>I161/(100-BE161)*100</f>
        <v>0</v>
      </c>
      <c r="BE161" s="38">
        <v>0</v>
      </c>
      <c r="BF161" s="38">
        <f>161</f>
        <v>161</v>
      </c>
      <c r="BH161" s="23">
        <f>H161*AO161</f>
        <v>0</v>
      </c>
      <c r="BI161" s="23">
        <f>H161*AP161</f>
        <v>0</v>
      </c>
      <c r="BJ161" s="23">
        <f>H161*I161</f>
        <v>0</v>
      </c>
      <c r="BK161" s="23" t="s">
        <v>476</v>
      </c>
      <c r="BL161" s="38">
        <v>95</v>
      </c>
    </row>
    <row r="162" spans="1:64" ht="12.75">
      <c r="A162" s="5" t="s">
        <v>58</v>
      </c>
      <c r="B162" s="15" t="s">
        <v>148</v>
      </c>
      <c r="C162" s="161" t="s">
        <v>328</v>
      </c>
      <c r="D162" s="162"/>
      <c r="E162" s="162"/>
      <c r="F162" s="162"/>
      <c r="G162" s="15" t="s">
        <v>394</v>
      </c>
      <c r="H162" s="23">
        <v>2.5</v>
      </c>
      <c r="I162" s="23">
        <v>0</v>
      </c>
      <c r="J162" s="23">
        <f>H162*AO162</f>
        <v>0</v>
      </c>
      <c r="K162" s="23">
        <f>H162*AP162</f>
        <v>0</v>
      </c>
      <c r="L162" s="23">
        <f>H162*I162</f>
        <v>0</v>
      </c>
      <c r="M162" s="34" t="s">
        <v>420</v>
      </c>
      <c r="N162" s="6"/>
      <c r="Z162" s="38">
        <f>IF(AQ162="5",BJ162,0)</f>
        <v>0</v>
      </c>
      <c r="AB162" s="38">
        <f>IF(AQ162="1",BH162,0)</f>
        <v>0</v>
      </c>
      <c r="AC162" s="38">
        <f>IF(AQ162="1",BI162,0)</f>
        <v>0</v>
      </c>
      <c r="AD162" s="38">
        <f>IF(AQ162="7",BH162,0)</f>
        <v>0</v>
      </c>
      <c r="AE162" s="38">
        <f>IF(AQ162="7",BI162,0)</f>
        <v>0</v>
      </c>
      <c r="AF162" s="38">
        <f>IF(AQ162="2",BH162,0)</f>
        <v>0</v>
      </c>
      <c r="AG162" s="38">
        <f>IF(AQ162="2",BI162,0)</f>
        <v>0</v>
      </c>
      <c r="AH162" s="38">
        <f>IF(AQ162="0",BJ162,0)</f>
        <v>0</v>
      </c>
      <c r="AI162" s="37"/>
      <c r="AJ162" s="23">
        <f>IF(AN162=0,L162,0)</f>
        <v>0</v>
      </c>
      <c r="AK162" s="23">
        <f>IF(AN162=15,L162,0)</f>
        <v>0</v>
      </c>
      <c r="AL162" s="23">
        <f>IF(AN162=21,L162,0)</f>
        <v>0</v>
      </c>
      <c r="AN162" s="38">
        <v>21</v>
      </c>
      <c r="AO162" s="38">
        <f>I162*0</f>
        <v>0</v>
      </c>
      <c r="AP162" s="38">
        <f>I162*(1-0)</f>
        <v>0</v>
      </c>
      <c r="AQ162" s="39" t="s">
        <v>7</v>
      </c>
      <c r="AV162" s="38">
        <f>AW162+AX162</f>
        <v>0</v>
      </c>
      <c r="AW162" s="38">
        <f>H162*AO162</f>
        <v>0</v>
      </c>
      <c r="AX162" s="38">
        <f>H162*AP162</f>
        <v>0</v>
      </c>
      <c r="AY162" s="41" t="s">
        <v>449</v>
      </c>
      <c r="AZ162" s="41" t="s">
        <v>468</v>
      </c>
      <c r="BA162" s="37" t="s">
        <v>471</v>
      </c>
      <c r="BC162" s="38">
        <f>AW162+AX162</f>
        <v>0</v>
      </c>
      <c r="BD162" s="38">
        <f>I162/(100-BE162)*100</f>
        <v>0</v>
      </c>
      <c r="BE162" s="38">
        <v>0</v>
      </c>
      <c r="BF162" s="38">
        <f>162</f>
        <v>162</v>
      </c>
      <c r="BH162" s="23">
        <f>H162*AO162</f>
        <v>0</v>
      </c>
      <c r="BI162" s="23">
        <f>H162*AP162</f>
        <v>0</v>
      </c>
      <c r="BJ162" s="23">
        <f>H162*I162</f>
        <v>0</v>
      </c>
      <c r="BK162" s="23" t="s">
        <v>476</v>
      </c>
      <c r="BL162" s="38">
        <v>95</v>
      </c>
    </row>
    <row r="163" spans="1:14" ht="12.75">
      <c r="A163" s="6"/>
      <c r="B163" s="17" t="s">
        <v>84</v>
      </c>
      <c r="C163" s="166" t="s">
        <v>329</v>
      </c>
      <c r="D163" s="167"/>
      <c r="E163" s="167"/>
      <c r="F163" s="167"/>
      <c r="G163" s="167"/>
      <c r="H163" s="167"/>
      <c r="I163" s="167"/>
      <c r="J163" s="167"/>
      <c r="K163" s="167"/>
      <c r="L163" s="167"/>
      <c r="M163" s="168"/>
      <c r="N163" s="6"/>
    </row>
    <row r="164" spans="1:64" ht="12.75">
      <c r="A164" s="5" t="s">
        <v>59</v>
      </c>
      <c r="B164" s="15" t="s">
        <v>149</v>
      </c>
      <c r="C164" s="161" t="s">
        <v>330</v>
      </c>
      <c r="D164" s="162"/>
      <c r="E164" s="162"/>
      <c r="F164" s="162"/>
      <c r="G164" s="15" t="s">
        <v>394</v>
      </c>
      <c r="H164" s="23">
        <v>2.5</v>
      </c>
      <c r="I164" s="23">
        <v>0</v>
      </c>
      <c r="J164" s="23">
        <f>H164*AO164</f>
        <v>0</v>
      </c>
      <c r="K164" s="23">
        <f>H164*AP164</f>
        <v>0</v>
      </c>
      <c r="L164" s="23">
        <f>H164*I164</f>
        <v>0</v>
      </c>
      <c r="M164" s="34" t="s">
        <v>420</v>
      </c>
      <c r="N164" s="6"/>
      <c r="Z164" s="38">
        <f>IF(AQ164="5",BJ164,0)</f>
        <v>0</v>
      </c>
      <c r="AB164" s="38">
        <f>IF(AQ164="1",BH164,0)</f>
        <v>0</v>
      </c>
      <c r="AC164" s="38">
        <f>IF(AQ164="1",BI164,0)</f>
        <v>0</v>
      </c>
      <c r="AD164" s="38">
        <f>IF(AQ164="7",BH164,0)</f>
        <v>0</v>
      </c>
      <c r="AE164" s="38">
        <f>IF(AQ164="7",BI164,0)</f>
        <v>0</v>
      </c>
      <c r="AF164" s="38">
        <f>IF(AQ164="2",BH164,0)</f>
        <v>0</v>
      </c>
      <c r="AG164" s="38">
        <f>IF(AQ164="2",BI164,0)</f>
        <v>0</v>
      </c>
      <c r="AH164" s="38">
        <f>IF(AQ164="0",BJ164,0)</f>
        <v>0</v>
      </c>
      <c r="AI164" s="37"/>
      <c r="AJ164" s="23">
        <f>IF(AN164=0,L164,0)</f>
        <v>0</v>
      </c>
      <c r="AK164" s="23">
        <f>IF(AN164=15,L164,0)</f>
        <v>0</v>
      </c>
      <c r="AL164" s="23">
        <f>IF(AN164=21,L164,0)</f>
        <v>0</v>
      </c>
      <c r="AN164" s="38">
        <v>21</v>
      </c>
      <c r="AO164" s="38">
        <f>I164*0.123607427055703</f>
        <v>0</v>
      </c>
      <c r="AP164" s="38">
        <f>I164*(1-0.123607427055703)</f>
        <v>0</v>
      </c>
      <c r="AQ164" s="39" t="s">
        <v>7</v>
      </c>
      <c r="AV164" s="38">
        <f>AW164+AX164</f>
        <v>0</v>
      </c>
      <c r="AW164" s="38">
        <f>H164*AO164</f>
        <v>0</v>
      </c>
      <c r="AX164" s="38">
        <f>H164*AP164</f>
        <v>0</v>
      </c>
      <c r="AY164" s="41" t="s">
        <v>449</v>
      </c>
      <c r="AZ164" s="41" t="s">
        <v>468</v>
      </c>
      <c r="BA164" s="37" t="s">
        <v>471</v>
      </c>
      <c r="BC164" s="38">
        <f>AW164+AX164</f>
        <v>0</v>
      </c>
      <c r="BD164" s="38">
        <f>I164/(100-BE164)*100</f>
        <v>0</v>
      </c>
      <c r="BE164" s="38">
        <v>0</v>
      </c>
      <c r="BF164" s="38">
        <f>164</f>
        <v>164</v>
      </c>
      <c r="BH164" s="23">
        <f>H164*AO164</f>
        <v>0</v>
      </c>
      <c r="BI164" s="23">
        <f>H164*AP164</f>
        <v>0</v>
      </c>
      <c r="BJ164" s="23">
        <f>H164*I164</f>
        <v>0</v>
      </c>
      <c r="BK164" s="23" t="s">
        <v>476</v>
      </c>
      <c r="BL164" s="38">
        <v>95</v>
      </c>
    </row>
    <row r="165" spans="1:14" ht="12.75">
      <c r="A165" s="6"/>
      <c r="B165" s="17" t="s">
        <v>84</v>
      </c>
      <c r="C165" s="166" t="s">
        <v>277</v>
      </c>
      <c r="D165" s="167"/>
      <c r="E165" s="167"/>
      <c r="F165" s="167"/>
      <c r="G165" s="167"/>
      <c r="H165" s="167"/>
      <c r="I165" s="167"/>
      <c r="J165" s="167"/>
      <c r="K165" s="167"/>
      <c r="L165" s="167"/>
      <c r="M165" s="168"/>
      <c r="N165" s="6"/>
    </row>
    <row r="166" spans="1:64" ht="12.75">
      <c r="A166" s="5" t="s">
        <v>60</v>
      </c>
      <c r="B166" s="15" t="s">
        <v>150</v>
      </c>
      <c r="C166" s="161" t="s">
        <v>331</v>
      </c>
      <c r="D166" s="162"/>
      <c r="E166" s="162"/>
      <c r="F166" s="162"/>
      <c r="G166" s="15" t="s">
        <v>394</v>
      </c>
      <c r="H166" s="23">
        <v>5</v>
      </c>
      <c r="I166" s="23">
        <v>0</v>
      </c>
      <c r="J166" s="23">
        <f>H166*AO166</f>
        <v>0</v>
      </c>
      <c r="K166" s="23">
        <f>H166*AP166</f>
        <v>0</v>
      </c>
      <c r="L166" s="23">
        <f>H166*I166</f>
        <v>0</v>
      </c>
      <c r="M166" s="34" t="s">
        <v>420</v>
      </c>
      <c r="N166" s="6"/>
      <c r="Z166" s="38">
        <f>IF(AQ166="5",BJ166,0)</f>
        <v>0</v>
      </c>
      <c r="AB166" s="38">
        <f>IF(AQ166="1",BH166,0)</f>
        <v>0</v>
      </c>
      <c r="AC166" s="38">
        <f>IF(AQ166="1",BI166,0)</f>
        <v>0</v>
      </c>
      <c r="AD166" s="38">
        <f>IF(AQ166="7",BH166,0)</f>
        <v>0</v>
      </c>
      <c r="AE166" s="38">
        <f>IF(AQ166="7",BI166,0)</f>
        <v>0</v>
      </c>
      <c r="AF166" s="38">
        <f>IF(AQ166="2",BH166,0)</f>
        <v>0</v>
      </c>
      <c r="AG166" s="38">
        <f>IF(AQ166="2",BI166,0)</f>
        <v>0</v>
      </c>
      <c r="AH166" s="38">
        <f>IF(AQ166="0",BJ166,0)</f>
        <v>0</v>
      </c>
      <c r="AI166" s="37"/>
      <c r="AJ166" s="23">
        <f>IF(AN166=0,L166,0)</f>
        <v>0</v>
      </c>
      <c r="AK166" s="23">
        <f>IF(AN166=15,L166,0)</f>
        <v>0</v>
      </c>
      <c r="AL166" s="23">
        <f>IF(AN166=21,L166,0)</f>
        <v>0</v>
      </c>
      <c r="AN166" s="38">
        <v>21</v>
      </c>
      <c r="AO166" s="38">
        <f>I166*0</f>
        <v>0</v>
      </c>
      <c r="AP166" s="38">
        <f>I166*(1-0)</f>
        <v>0</v>
      </c>
      <c r="AQ166" s="39" t="s">
        <v>7</v>
      </c>
      <c r="AV166" s="38">
        <f>AW166+AX166</f>
        <v>0</v>
      </c>
      <c r="AW166" s="38">
        <f>H166*AO166</f>
        <v>0</v>
      </c>
      <c r="AX166" s="38">
        <f>H166*AP166</f>
        <v>0</v>
      </c>
      <c r="AY166" s="41" t="s">
        <v>449</v>
      </c>
      <c r="AZ166" s="41" t="s">
        <v>468</v>
      </c>
      <c r="BA166" s="37" t="s">
        <v>471</v>
      </c>
      <c r="BC166" s="38">
        <f>AW166+AX166</f>
        <v>0</v>
      </c>
      <c r="BD166" s="38">
        <f>I166/(100-BE166)*100</f>
        <v>0</v>
      </c>
      <c r="BE166" s="38">
        <v>0</v>
      </c>
      <c r="BF166" s="38">
        <f>166</f>
        <v>166</v>
      </c>
      <c r="BH166" s="23">
        <f>H166*AO166</f>
        <v>0</v>
      </c>
      <c r="BI166" s="23">
        <f>H166*AP166</f>
        <v>0</v>
      </c>
      <c r="BJ166" s="23">
        <f>H166*I166</f>
        <v>0</v>
      </c>
      <c r="BK166" s="23" t="s">
        <v>476</v>
      </c>
      <c r="BL166" s="38">
        <v>95</v>
      </c>
    </row>
    <row r="167" spans="1:14" ht="12.75">
      <c r="A167" s="6"/>
      <c r="B167" s="17" t="s">
        <v>84</v>
      </c>
      <c r="C167" s="166" t="s">
        <v>332</v>
      </c>
      <c r="D167" s="167"/>
      <c r="E167" s="167"/>
      <c r="F167" s="167"/>
      <c r="G167" s="167"/>
      <c r="H167" s="167"/>
      <c r="I167" s="167"/>
      <c r="J167" s="167"/>
      <c r="K167" s="167"/>
      <c r="L167" s="167"/>
      <c r="M167" s="168"/>
      <c r="N167" s="6"/>
    </row>
    <row r="168" spans="1:47" ht="12.75">
      <c r="A168" s="4"/>
      <c r="B168" s="14" t="s">
        <v>151</v>
      </c>
      <c r="C168" s="159" t="s">
        <v>333</v>
      </c>
      <c r="D168" s="160"/>
      <c r="E168" s="160"/>
      <c r="F168" s="160"/>
      <c r="G168" s="21" t="s">
        <v>6</v>
      </c>
      <c r="H168" s="21" t="s">
        <v>6</v>
      </c>
      <c r="I168" s="21" t="s">
        <v>6</v>
      </c>
      <c r="J168" s="44">
        <f>SUM(J169:J171)</f>
        <v>0</v>
      </c>
      <c r="K168" s="44">
        <f>SUM(K169:K171)</f>
        <v>0</v>
      </c>
      <c r="L168" s="44">
        <f>SUM(L169:L171)</f>
        <v>0</v>
      </c>
      <c r="M168" s="33"/>
      <c r="N168" s="6"/>
      <c r="AI168" s="37"/>
      <c r="AS168" s="44">
        <f>SUM(AJ169:AJ171)</f>
        <v>0</v>
      </c>
      <c r="AT168" s="44">
        <f>SUM(AK169:AK171)</f>
        <v>0</v>
      </c>
      <c r="AU168" s="44">
        <f>SUM(AL169:AL171)</f>
        <v>0</v>
      </c>
    </row>
    <row r="169" spans="1:64" ht="12.75">
      <c r="A169" s="5" t="s">
        <v>61</v>
      </c>
      <c r="B169" s="15" t="s">
        <v>152</v>
      </c>
      <c r="C169" s="161" t="s">
        <v>334</v>
      </c>
      <c r="D169" s="162"/>
      <c r="E169" s="162"/>
      <c r="F169" s="162"/>
      <c r="G169" s="15" t="s">
        <v>394</v>
      </c>
      <c r="H169" s="23">
        <v>978.35</v>
      </c>
      <c r="I169" s="23">
        <v>0</v>
      </c>
      <c r="J169" s="23">
        <f>H169*AO169</f>
        <v>0</v>
      </c>
      <c r="K169" s="23">
        <f>H169*AP169</f>
        <v>0</v>
      </c>
      <c r="L169" s="23">
        <f>H169*I169</f>
        <v>0</v>
      </c>
      <c r="M169" s="34" t="s">
        <v>420</v>
      </c>
      <c r="N169" s="6"/>
      <c r="Z169" s="38">
        <f>IF(AQ169="5",BJ169,0)</f>
        <v>0</v>
      </c>
      <c r="AB169" s="38">
        <f>IF(AQ169="1",BH169,0)</f>
        <v>0</v>
      </c>
      <c r="AC169" s="38">
        <f>IF(AQ169="1",BI169,0)</f>
        <v>0</v>
      </c>
      <c r="AD169" s="38">
        <f>IF(AQ169="7",BH169,0)</f>
        <v>0</v>
      </c>
      <c r="AE169" s="38">
        <f>IF(AQ169="7",BI169,0)</f>
        <v>0</v>
      </c>
      <c r="AF169" s="38">
        <f>IF(AQ169="2",BH169,0)</f>
        <v>0</v>
      </c>
      <c r="AG169" s="38">
        <f>IF(AQ169="2",BI169,0)</f>
        <v>0</v>
      </c>
      <c r="AH169" s="38">
        <f>IF(AQ169="0",BJ169,0)</f>
        <v>0</v>
      </c>
      <c r="AI169" s="37"/>
      <c r="AJ169" s="23">
        <f>IF(AN169=0,L169,0)</f>
        <v>0</v>
      </c>
      <c r="AK169" s="23">
        <f>IF(AN169=15,L169,0)</f>
        <v>0</v>
      </c>
      <c r="AL169" s="23">
        <f>IF(AN169=21,L169,0)</f>
        <v>0</v>
      </c>
      <c r="AN169" s="38">
        <v>21</v>
      </c>
      <c r="AO169" s="38">
        <f>I169*0</f>
        <v>0</v>
      </c>
      <c r="AP169" s="38">
        <f>I169*(1-0)</f>
        <v>0</v>
      </c>
      <c r="AQ169" s="39" t="s">
        <v>7</v>
      </c>
      <c r="AV169" s="38">
        <f>AW169+AX169</f>
        <v>0</v>
      </c>
      <c r="AW169" s="38">
        <f>H169*AO169</f>
        <v>0</v>
      </c>
      <c r="AX169" s="38">
        <f>H169*AP169</f>
        <v>0</v>
      </c>
      <c r="AY169" s="41" t="s">
        <v>450</v>
      </c>
      <c r="AZ169" s="41" t="s">
        <v>468</v>
      </c>
      <c r="BA169" s="37" t="s">
        <v>471</v>
      </c>
      <c r="BC169" s="38">
        <f>AW169+AX169</f>
        <v>0</v>
      </c>
      <c r="BD169" s="38">
        <f>I169/(100-BE169)*100</f>
        <v>0</v>
      </c>
      <c r="BE169" s="38">
        <v>0</v>
      </c>
      <c r="BF169" s="38">
        <f>169</f>
        <v>169</v>
      </c>
      <c r="BH169" s="23">
        <f>H169*AO169</f>
        <v>0</v>
      </c>
      <c r="BI169" s="23">
        <f>H169*AP169</f>
        <v>0</v>
      </c>
      <c r="BJ169" s="23">
        <f>H169*I169</f>
        <v>0</v>
      </c>
      <c r="BK169" s="23" t="s">
        <v>476</v>
      </c>
      <c r="BL169" s="38">
        <v>97</v>
      </c>
    </row>
    <row r="170" spans="1:14" ht="12.75">
      <c r="A170" s="6"/>
      <c r="B170" s="16" t="s">
        <v>87</v>
      </c>
      <c r="C170" s="163" t="s">
        <v>335</v>
      </c>
      <c r="D170" s="164"/>
      <c r="E170" s="164"/>
      <c r="F170" s="164"/>
      <c r="G170" s="164"/>
      <c r="H170" s="164"/>
      <c r="I170" s="164"/>
      <c r="J170" s="164"/>
      <c r="K170" s="164"/>
      <c r="L170" s="164"/>
      <c r="M170" s="165"/>
      <c r="N170" s="6"/>
    </row>
    <row r="171" spans="1:64" ht="12.75">
      <c r="A171" s="5" t="s">
        <v>62</v>
      </c>
      <c r="B171" s="15" t="s">
        <v>153</v>
      </c>
      <c r="C171" s="161" t="s">
        <v>336</v>
      </c>
      <c r="D171" s="162"/>
      <c r="E171" s="162"/>
      <c r="F171" s="162"/>
      <c r="G171" s="15" t="s">
        <v>397</v>
      </c>
      <c r="H171" s="23">
        <v>6</v>
      </c>
      <c r="I171" s="23">
        <v>0</v>
      </c>
      <c r="J171" s="23">
        <f>H171*AO171</f>
        <v>0</v>
      </c>
      <c r="K171" s="23">
        <f>H171*AP171</f>
        <v>0</v>
      </c>
      <c r="L171" s="23">
        <f>H171*I171</f>
        <v>0</v>
      </c>
      <c r="M171" s="34" t="s">
        <v>420</v>
      </c>
      <c r="N171" s="6"/>
      <c r="Z171" s="38">
        <f>IF(AQ171="5",BJ171,0)</f>
        <v>0</v>
      </c>
      <c r="AB171" s="38">
        <f>IF(AQ171="1",BH171,0)</f>
        <v>0</v>
      </c>
      <c r="AC171" s="38">
        <f>IF(AQ171="1",BI171,0)</f>
        <v>0</v>
      </c>
      <c r="AD171" s="38">
        <f>IF(AQ171="7",BH171,0)</f>
        <v>0</v>
      </c>
      <c r="AE171" s="38">
        <f>IF(AQ171="7",BI171,0)</f>
        <v>0</v>
      </c>
      <c r="AF171" s="38">
        <f>IF(AQ171="2",BH171,0)</f>
        <v>0</v>
      </c>
      <c r="AG171" s="38">
        <f>IF(AQ171="2",BI171,0)</f>
        <v>0</v>
      </c>
      <c r="AH171" s="38">
        <f>IF(AQ171="0",BJ171,0)</f>
        <v>0</v>
      </c>
      <c r="AI171" s="37"/>
      <c r="AJ171" s="23">
        <f>IF(AN171=0,L171,0)</f>
        <v>0</v>
      </c>
      <c r="AK171" s="23">
        <f>IF(AN171=15,L171,0)</f>
        <v>0</v>
      </c>
      <c r="AL171" s="23">
        <f>IF(AN171=21,L171,0)</f>
        <v>0</v>
      </c>
      <c r="AN171" s="38">
        <v>21</v>
      </c>
      <c r="AO171" s="38">
        <f>I171*0</f>
        <v>0</v>
      </c>
      <c r="AP171" s="38">
        <f>I171*(1-0)</f>
        <v>0</v>
      </c>
      <c r="AQ171" s="39" t="s">
        <v>7</v>
      </c>
      <c r="AV171" s="38">
        <f>AW171+AX171</f>
        <v>0</v>
      </c>
      <c r="AW171" s="38">
        <f>H171*AO171</f>
        <v>0</v>
      </c>
      <c r="AX171" s="38">
        <f>H171*AP171</f>
        <v>0</v>
      </c>
      <c r="AY171" s="41" t="s">
        <v>450</v>
      </c>
      <c r="AZ171" s="41" t="s">
        <v>468</v>
      </c>
      <c r="BA171" s="37" t="s">
        <v>471</v>
      </c>
      <c r="BC171" s="38">
        <f>AW171+AX171</f>
        <v>0</v>
      </c>
      <c r="BD171" s="38">
        <f>I171/(100-BE171)*100</f>
        <v>0</v>
      </c>
      <c r="BE171" s="38">
        <v>0</v>
      </c>
      <c r="BF171" s="38">
        <f>171</f>
        <v>171</v>
      </c>
      <c r="BH171" s="23">
        <f>H171*AO171</f>
        <v>0</v>
      </c>
      <c r="BI171" s="23">
        <f>H171*AP171</f>
        <v>0</v>
      </c>
      <c r="BJ171" s="23">
        <f>H171*I171</f>
        <v>0</v>
      </c>
      <c r="BK171" s="23" t="s">
        <v>476</v>
      </c>
      <c r="BL171" s="38">
        <v>97</v>
      </c>
    </row>
    <row r="172" spans="1:14" ht="12.75">
      <c r="A172" s="6"/>
      <c r="B172" s="16" t="s">
        <v>87</v>
      </c>
      <c r="C172" s="163" t="s">
        <v>337</v>
      </c>
      <c r="D172" s="164"/>
      <c r="E172" s="164"/>
      <c r="F172" s="164"/>
      <c r="G172" s="164"/>
      <c r="H172" s="164"/>
      <c r="I172" s="164"/>
      <c r="J172" s="164"/>
      <c r="K172" s="164"/>
      <c r="L172" s="164"/>
      <c r="M172" s="165"/>
      <c r="N172" s="6"/>
    </row>
    <row r="173" spans="1:14" ht="12.75">
      <c r="A173" s="6"/>
      <c r="B173" s="17" t="s">
        <v>84</v>
      </c>
      <c r="C173" s="166" t="s">
        <v>338</v>
      </c>
      <c r="D173" s="167"/>
      <c r="E173" s="167"/>
      <c r="F173" s="167"/>
      <c r="G173" s="167"/>
      <c r="H173" s="167"/>
      <c r="I173" s="167"/>
      <c r="J173" s="167"/>
      <c r="K173" s="167"/>
      <c r="L173" s="167"/>
      <c r="M173" s="168"/>
      <c r="N173" s="6"/>
    </row>
    <row r="174" spans="1:47" ht="12.75">
      <c r="A174" s="4"/>
      <c r="B174" s="14" t="s">
        <v>154</v>
      </c>
      <c r="C174" s="159" t="s">
        <v>339</v>
      </c>
      <c r="D174" s="160"/>
      <c r="E174" s="160"/>
      <c r="F174" s="160"/>
      <c r="G174" s="21" t="s">
        <v>6</v>
      </c>
      <c r="H174" s="21" t="s">
        <v>6</v>
      </c>
      <c r="I174" s="21" t="s">
        <v>6</v>
      </c>
      <c r="J174" s="44">
        <f>SUM(J175:J175)</f>
        <v>0</v>
      </c>
      <c r="K174" s="44">
        <f>SUM(K175:K175)</f>
        <v>0</v>
      </c>
      <c r="L174" s="44">
        <f>SUM(L175:L175)</f>
        <v>0</v>
      </c>
      <c r="M174" s="33"/>
      <c r="N174" s="6"/>
      <c r="AI174" s="37"/>
      <c r="AS174" s="44">
        <f>SUM(AJ175:AJ175)</f>
        <v>0</v>
      </c>
      <c r="AT174" s="44">
        <f>SUM(AK175:AK175)</f>
        <v>0</v>
      </c>
      <c r="AU174" s="44">
        <f>SUM(AL175:AL175)</f>
        <v>0</v>
      </c>
    </row>
    <row r="175" spans="1:64" ht="12.75">
      <c r="A175" s="5" t="s">
        <v>63</v>
      </c>
      <c r="B175" s="15" t="s">
        <v>155</v>
      </c>
      <c r="C175" s="161" t="s">
        <v>340</v>
      </c>
      <c r="D175" s="162"/>
      <c r="E175" s="162"/>
      <c r="F175" s="162"/>
      <c r="G175" s="15" t="s">
        <v>401</v>
      </c>
      <c r="H175" s="23">
        <v>113.9533</v>
      </c>
      <c r="I175" s="23">
        <v>0</v>
      </c>
      <c r="J175" s="23">
        <f>H175*AO175</f>
        <v>0</v>
      </c>
      <c r="K175" s="23">
        <f>H175*AP175</f>
        <v>0</v>
      </c>
      <c r="L175" s="23">
        <f>H175*I175</f>
        <v>0</v>
      </c>
      <c r="M175" s="34" t="s">
        <v>420</v>
      </c>
      <c r="N175" s="6"/>
      <c r="Z175" s="38">
        <f>IF(AQ175="5",BJ175,0)</f>
        <v>0</v>
      </c>
      <c r="AB175" s="38">
        <f>IF(AQ175="1",BH175,0)</f>
        <v>0</v>
      </c>
      <c r="AC175" s="38">
        <f>IF(AQ175="1",BI175,0)</f>
        <v>0</v>
      </c>
      <c r="AD175" s="38">
        <f>IF(AQ175="7",BH175,0)</f>
        <v>0</v>
      </c>
      <c r="AE175" s="38">
        <f>IF(AQ175="7",BI175,0)</f>
        <v>0</v>
      </c>
      <c r="AF175" s="38">
        <f>IF(AQ175="2",BH175,0)</f>
        <v>0</v>
      </c>
      <c r="AG175" s="38">
        <f>IF(AQ175="2",BI175,0)</f>
        <v>0</v>
      </c>
      <c r="AH175" s="38">
        <f>IF(AQ175="0",BJ175,0)</f>
        <v>0</v>
      </c>
      <c r="AI175" s="37"/>
      <c r="AJ175" s="23">
        <f>IF(AN175=0,L175,0)</f>
        <v>0</v>
      </c>
      <c r="AK175" s="23">
        <f>IF(AN175=15,L175,0)</f>
        <v>0</v>
      </c>
      <c r="AL175" s="23">
        <f>IF(AN175=21,L175,0)</f>
        <v>0</v>
      </c>
      <c r="AN175" s="38">
        <v>21</v>
      </c>
      <c r="AO175" s="38">
        <f>I175*0</f>
        <v>0</v>
      </c>
      <c r="AP175" s="38">
        <f>I175*(1-0)</f>
        <v>0</v>
      </c>
      <c r="AQ175" s="39" t="s">
        <v>11</v>
      </c>
      <c r="AV175" s="38">
        <f>AW175+AX175</f>
        <v>0</v>
      </c>
      <c r="AW175" s="38">
        <f>H175*AO175</f>
        <v>0</v>
      </c>
      <c r="AX175" s="38">
        <f>H175*AP175</f>
        <v>0</v>
      </c>
      <c r="AY175" s="41" t="s">
        <v>451</v>
      </c>
      <c r="AZ175" s="41" t="s">
        <v>468</v>
      </c>
      <c r="BA175" s="37" t="s">
        <v>471</v>
      </c>
      <c r="BC175" s="38">
        <f>AW175+AX175</f>
        <v>0</v>
      </c>
      <c r="BD175" s="38">
        <f>I175/(100-BE175)*100</f>
        <v>0</v>
      </c>
      <c r="BE175" s="38">
        <v>0</v>
      </c>
      <c r="BF175" s="38">
        <f>175</f>
        <v>175</v>
      </c>
      <c r="BH175" s="23">
        <f>H175*AO175</f>
        <v>0</v>
      </c>
      <c r="BI175" s="23">
        <f>H175*AP175</f>
        <v>0</v>
      </c>
      <c r="BJ175" s="23">
        <f>H175*I175</f>
        <v>0</v>
      </c>
      <c r="BK175" s="23" t="s">
        <v>476</v>
      </c>
      <c r="BL175" s="38" t="s">
        <v>154</v>
      </c>
    </row>
    <row r="176" spans="1:47" ht="12.75">
      <c r="A176" s="4"/>
      <c r="B176" s="14" t="s">
        <v>156</v>
      </c>
      <c r="C176" s="159" t="s">
        <v>341</v>
      </c>
      <c r="D176" s="160"/>
      <c r="E176" s="160"/>
      <c r="F176" s="160"/>
      <c r="G176" s="21" t="s">
        <v>6</v>
      </c>
      <c r="H176" s="21" t="s">
        <v>6</v>
      </c>
      <c r="I176" s="21" t="s">
        <v>6</v>
      </c>
      <c r="J176" s="44">
        <f>SUM(J177:J177)</f>
        <v>0</v>
      </c>
      <c r="K176" s="44">
        <f>SUM(K177:K177)</f>
        <v>0</v>
      </c>
      <c r="L176" s="44">
        <f>SUM(L177:L177)</f>
        <v>0</v>
      </c>
      <c r="M176" s="33"/>
      <c r="N176" s="6"/>
      <c r="AI176" s="37"/>
      <c r="AS176" s="44">
        <f>SUM(AJ177:AJ177)</f>
        <v>0</v>
      </c>
      <c r="AT176" s="44">
        <f>SUM(AK177:AK177)</f>
        <v>0</v>
      </c>
      <c r="AU176" s="44">
        <f>SUM(AL177:AL177)</f>
        <v>0</v>
      </c>
    </row>
    <row r="177" spans="1:64" ht="12.75">
      <c r="A177" s="5" t="s">
        <v>64</v>
      </c>
      <c r="B177" s="15" t="s">
        <v>157</v>
      </c>
      <c r="C177" s="161" t="s">
        <v>341</v>
      </c>
      <c r="D177" s="162"/>
      <c r="E177" s="162"/>
      <c r="F177" s="162"/>
      <c r="G177" s="15" t="s">
        <v>399</v>
      </c>
      <c r="H177" s="23">
        <v>1</v>
      </c>
      <c r="I177" s="23">
        <v>0</v>
      </c>
      <c r="J177" s="23">
        <f>H177*AO177</f>
        <v>0</v>
      </c>
      <c r="K177" s="23">
        <f>H177*AP177</f>
        <v>0</v>
      </c>
      <c r="L177" s="23">
        <f>H177*I177</f>
        <v>0</v>
      </c>
      <c r="M177" s="34"/>
      <c r="N177" s="6"/>
      <c r="Z177" s="38">
        <f>IF(AQ177="5",BJ177,0)</f>
        <v>0</v>
      </c>
      <c r="AB177" s="38">
        <f>IF(AQ177="1",BH177,0)</f>
        <v>0</v>
      </c>
      <c r="AC177" s="38">
        <f>IF(AQ177="1",BI177,0)</f>
        <v>0</v>
      </c>
      <c r="AD177" s="38">
        <f>IF(AQ177="7",BH177,0)</f>
        <v>0</v>
      </c>
      <c r="AE177" s="38">
        <f>IF(AQ177="7",BI177,0)</f>
        <v>0</v>
      </c>
      <c r="AF177" s="38">
        <f>IF(AQ177="2",BH177,0)</f>
        <v>0</v>
      </c>
      <c r="AG177" s="38">
        <f>IF(AQ177="2",BI177,0)</f>
        <v>0</v>
      </c>
      <c r="AH177" s="38">
        <f>IF(AQ177="0",BJ177,0)</f>
        <v>0</v>
      </c>
      <c r="AI177" s="37"/>
      <c r="AJ177" s="23">
        <f>IF(AN177=0,L177,0)</f>
        <v>0</v>
      </c>
      <c r="AK177" s="23">
        <f>IF(AN177=15,L177,0)</f>
        <v>0</v>
      </c>
      <c r="AL177" s="23">
        <f>IF(AN177=21,L177,0)</f>
        <v>0</v>
      </c>
      <c r="AN177" s="38">
        <v>21</v>
      </c>
      <c r="AO177" s="38">
        <f>I177*0</f>
        <v>0</v>
      </c>
      <c r="AP177" s="38">
        <f>I177*(1-0)</f>
        <v>0</v>
      </c>
      <c r="AQ177" s="39" t="s">
        <v>8</v>
      </c>
      <c r="AV177" s="38">
        <f>AW177+AX177</f>
        <v>0</v>
      </c>
      <c r="AW177" s="38">
        <f>H177*AO177</f>
        <v>0</v>
      </c>
      <c r="AX177" s="38">
        <f>H177*AP177</f>
        <v>0</v>
      </c>
      <c r="AY177" s="41" t="s">
        <v>452</v>
      </c>
      <c r="AZ177" s="41" t="s">
        <v>468</v>
      </c>
      <c r="BA177" s="37" t="s">
        <v>471</v>
      </c>
      <c r="BC177" s="38">
        <f>AW177+AX177</f>
        <v>0</v>
      </c>
      <c r="BD177" s="38">
        <f>I177/(100-BE177)*100</f>
        <v>0</v>
      </c>
      <c r="BE177" s="38">
        <v>0</v>
      </c>
      <c r="BF177" s="38">
        <f>177</f>
        <v>177</v>
      </c>
      <c r="BH177" s="23">
        <f>H177*AO177</f>
        <v>0</v>
      </c>
      <c r="BI177" s="23">
        <f>H177*AP177</f>
        <v>0</v>
      </c>
      <c r="BJ177" s="23">
        <f>H177*I177</f>
        <v>0</v>
      </c>
      <c r="BK177" s="23" t="s">
        <v>476</v>
      </c>
      <c r="BL177" s="38" t="s">
        <v>156</v>
      </c>
    </row>
    <row r="178" spans="1:14" ht="12.75">
      <c r="A178" s="6"/>
      <c r="B178" s="17" t="s">
        <v>84</v>
      </c>
      <c r="C178" s="166" t="s">
        <v>342</v>
      </c>
      <c r="D178" s="167"/>
      <c r="E178" s="167"/>
      <c r="F178" s="167"/>
      <c r="G178" s="167"/>
      <c r="H178" s="167"/>
      <c r="I178" s="167"/>
      <c r="J178" s="167"/>
      <c r="K178" s="167"/>
      <c r="L178" s="167"/>
      <c r="M178" s="168"/>
      <c r="N178" s="6"/>
    </row>
    <row r="179" spans="1:47" ht="12.75">
      <c r="A179" s="4"/>
      <c r="B179" s="14" t="s">
        <v>158</v>
      </c>
      <c r="C179" s="159" t="s">
        <v>343</v>
      </c>
      <c r="D179" s="160"/>
      <c r="E179" s="160"/>
      <c r="F179" s="160"/>
      <c r="G179" s="21" t="s">
        <v>6</v>
      </c>
      <c r="H179" s="21" t="s">
        <v>6</v>
      </c>
      <c r="I179" s="21" t="s">
        <v>6</v>
      </c>
      <c r="J179" s="44">
        <f>SUM(J180:J186)</f>
        <v>0</v>
      </c>
      <c r="K179" s="44">
        <f>SUM(K180:K186)</f>
        <v>0</v>
      </c>
      <c r="L179" s="44">
        <f>SUM(L180:L186)</f>
        <v>0</v>
      </c>
      <c r="M179" s="33"/>
      <c r="N179" s="6"/>
      <c r="AI179" s="37"/>
      <c r="AS179" s="44">
        <f>SUM(AJ180:AJ186)</f>
        <v>0</v>
      </c>
      <c r="AT179" s="44">
        <f>SUM(AK180:AK186)</f>
        <v>0</v>
      </c>
      <c r="AU179" s="44">
        <f>SUM(AL180:AL186)</f>
        <v>0</v>
      </c>
    </row>
    <row r="180" spans="1:64" ht="12.75">
      <c r="A180" s="5" t="s">
        <v>65</v>
      </c>
      <c r="B180" s="15" t="s">
        <v>159</v>
      </c>
      <c r="C180" s="161" t="s">
        <v>344</v>
      </c>
      <c r="D180" s="162"/>
      <c r="E180" s="162"/>
      <c r="F180" s="162"/>
      <c r="G180" s="15" t="s">
        <v>401</v>
      </c>
      <c r="H180" s="23">
        <v>57.99</v>
      </c>
      <c r="I180" s="23">
        <v>0</v>
      </c>
      <c r="J180" s="23">
        <f>H180*AO180</f>
        <v>0</v>
      </c>
      <c r="K180" s="23">
        <f>H180*AP180</f>
        <v>0</v>
      </c>
      <c r="L180" s="23">
        <f>H180*I180</f>
        <v>0</v>
      </c>
      <c r="M180" s="34" t="s">
        <v>420</v>
      </c>
      <c r="N180" s="6"/>
      <c r="Z180" s="38">
        <f>IF(AQ180="5",BJ180,0)</f>
        <v>0</v>
      </c>
      <c r="AB180" s="38">
        <f>IF(AQ180="1",BH180,0)</f>
        <v>0</v>
      </c>
      <c r="AC180" s="38">
        <f>IF(AQ180="1",BI180,0)</f>
        <v>0</v>
      </c>
      <c r="AD180" s="38">
        <f>IF(AQ180="7",BH180,0)</f>
        <v>0</v>
      </c>
      <c r="AE180" s="38">
        <f>IF(AQ180="7",BI180,0)</f>
        <v>0</v>
      </c>
      <c r="AF180" s="38">
        <f>IF(AQ180="2",BH180,0)</f>
        <v>0</v>
      </c>
      <c r="AG180" s="38">
        <f>IF(AQ180="2",BI180,0)</f>
        <v>0</v>
      </c>
      <c r="AH180" s="38">
        <f>IF(AQ180="0",BJ180,0)</f>
        <v>0</v>
      </c>
      <c r="AI180" s="37"/>
      <c r="AJ180" s="23">
        <f>IF(AN180=0,L180,0)</f>
        <v>0</v>
      </c>
      <c r="AK180" s="23">
        <f>IF(AN180=15,L180,0)</f>
        <v>0</v>
      </c>
      <c r="AL180" s="23">
        <f>IF(AN180=21,L180,0)</f>
        <v>0</v>
      </c>
      <c r="AN180" s="38">
        <v>21</v>
      </c>
      <c r="AO180" s="38">
        <f>I180*0</f>
        <v>0</v>
      </c>
      <c r="AP180" s="38">
        <f>I180*(1-0)</f>
        <v>0</v>
      </c>
      <c r="AQ180" s="39" t="s">
        <v>11</v>
      </c>
      <c r="AV180" s="38">
        <f>AW180+AX180</f>
        <v>0</v>
      </c>
      <c r="AW180" s="38">
        <f>H180*AO180</f>
        <v>0</v>
      </c>
      <c r="AX180" s="38">
        <f>H180*AP180</f>
        <v>0</v>
      </c>
      <c r="AY180" s="41" t="s">
        <v>453</v>
      </c>
      <c r="AZ180" s="41" t="s">
        <v>468</v>
      </c>
      <c r="BA180" s="37" t="s">
        <v>471</v>
      </c>
      <c r="BC180" s="38">
        <f>AW180+AX180</f>
        <v>0</v>
      </c>
      <c r="BD180" s="38">
        <f>I180/(100-BE180)*100</f>
        <v>0</v>
      </c>
      <c r="BE180" s="38">
        <v>0</v>
      </c>
      <c r="BF180" s="38">
        <f>180</f>
        <v>180</v>
      </c>
      <c r="BH180" s="23">
        <f>H180*AO180</f>
        <v>0</v>
      </c>
      <c r="BI180" s="23">
        <f>H180*AP180</f>
        <v>0</v>
      </c>
      <c r="BJ180" s="23">
        <f>H180*I180</f>
        <v>0</v>
      </c>
      <c r="BK180" s="23" t="s">
        <v>476</v>
      </c>
      <c r="BL180" s="38" t="s">
        <v>158</v>
      </c>
    </row>
    <row r="181" spans="1:14" ht="12.75">
      <c r="A181" s="6"/>
      <c r="B181" s="16" t="s">
        <v>87</v>
      </c>
      <c r="C181" s="163" t="s">
        <v>345</v>
      </c>
      <c r="D181" s="164"/>
      <c r="E181" s="164"/>
      <c r="F181" s="164"/>
      <c r="G181" s="164"/>
      <c r="H181" s="164"/>
      <c r="I181" s="164"/>
      <c r="J181" s="164"/>
      <c r="K181" s="164"/>
      <c r="L181" s="164"/>
      <c r="M181" s="165"/>
      <c r="N181" s="6"/>
    </row>
    <row r="182" spans="1:64" ht="12.75">
      <c r="A182" s="5" t="s">
        <v>66</v>
      </c>
      <c r="B182" s="15" t="s">
        <v>160</v>
      </c>
      <c r="C182" s="161" t="s">
        <v>346</v>
      </c>
      <c r="D182" s="162"/>
      <c r="E182" s="162"/>
      <c r="F182" s="162"/>
      <c r="G182" s="15" t="s">
        <v>401</v>
      </c>
      <c r="H182" s="23">
        <v>57.99</v>
      </c>
      <c r="I182" s="23">
        <v>0</v>
      </c>
      <c r="J182" s="23">
        <f>H182*AO182</f>
        <v>0</v>
      </c>
      <c r="K182" s="23">
        <f>H182*AP182</f>
        <v>0</v>
      </c>
      <c r="L182" s="23">
        <f>H182*I182</f>
        <v>0</v>
      </c>
      <c r="M182" s="34" t="s">
        <v>420</v>
      </c>
      <c r="N182" s="6"/>
      <c r="Z182" s="38">
        <f>IF(AQ182="5",BJ182,0)</f>
        <v>0</v>
      </c>
      <c r="AB182" s="38">
        <f>IF(AQ182="1",BH182,0)</f>
        <v>0</v>
      </c>
      <c r="AC182" s="38">
        <f>IF(AQ182="1",BI182,0)</f>
        <v>0</v>
      </c>
      <c r="AD182" s="38">
        <f>IF(AQ182="7",BH182,0)</f>
        <v>0</v>
      </c>
      <c r="AE182" s="38">
        <f>IF(AQ182="7",BI182,0)</f>
        <v>0</v>
      </c>
      <c r="AF182" s="38">
        <f>IF(AQ182="2",BH182,0)</f>
        <v>0</v>
      </c>
      <c r="AG182" s="38">
        <f>IF(AQ182="2",BI182,0)</f>
        <v>0</v>
      </c>
      <c r="AH182" s="38">
        <f>IF(AQ182="0",BJ182,0)</f>
        <v>0</v>
      </c>
      <c r="AI182" s="37"/>
      <c r="AJ182" s="23">
        <f>IF(AN182=0,L182,0)</f>
        <v>0</v>
      </c>
      <c r="AK182" s="23">
        <f>IF(AN182=15,L182,0)</f>
        <v>0</v>
      </c>
      <c r="AL182" s="23">
        <f>IF(AN182=21,L182,0)</f>
        <v>0</v>
      </c>
      <c r="AN182" s="38">
        <v>21</v>
      </c>
      <c r="AO182" s="38">
        <f>I182*0</f>
        <v>0</v>
      </c>
      <c r="AP182" s="38">
        <f>I182*(1-0)</f>
        <v>0</v>
      </c>
      <c r="AQ182" s="39" t="s">
        <v>11</v>
      </c>
      <c r="AV182" s="38">
        <f>AW182+AX182</f>
        <v>0</v>
      </c>
      <c r="AW182" s="38">
        <f>H182*AO182</f>
        <v>0</v>
      </c>
      <c r="AX182" s="38">
        <f>H182*AP182</f>
        <v>0</v>
      </c>
      <c r="AY182" s="41" t="s">
        <v>453</v>
      </c>
      <c r="AZ182" s="41" t="s">
        <v>468</v>
      </c>
      <c r="BA182" s="37" t="s">
        <v>471</v>
      </c>
      <c r="BC182" s="38">
        <f>AW182+AX182</f>
        <v>0</v>
      </c>
      <c r="BD182" s="38">
        <f>I182/(100-BE182)*100</f>
        <v>0</v>
      </c>
      <c r="BE182" s="38">
        <v>0</v>
      </c>
      <c r="BF182" s="38">
        <f>182</f>
        <v>182</v>
      </c>
      <c r="BH182" s="23">
        <f>H182*AO182</f>
        <v>0</v>
      </c>
      <c r="BI182" s="23">
        <f>H182*AP182</f>
        <v>0</v>
      </c>
      <c r="BJ182" s="23">
        <f>H182*I182</f>
        <v>0</v>
      </c>
      <c r="BK182" s="23" t="s">
        <v>476</v>
      </c>
      <c r="BL182" s="38" t="s">
        <v>158</v>
      </c>
    </row>
    <row r="183" spans="1:64" ht="12.75">
      <c r="A183" s="5" t="s">
        <v>67</v>
      </c>
      <c r="B183" s="15" t="s">
        <v>161</v>
      </c>
      <c r="C183" s="161" t="s">
        <v>347</v>
      </c>
      <c r="D183" s="162"/>
      <c r="E183" s="162"/>
      <c r="F183" s="162"/>
      <c r="G183" s="15" t="s">
        <v>401</v>
      </c>
      <c r="H183" s="23">
        <v>57.99</v>
      </c>
      <c r="I183" s="23">
        <v>0</v>
      </c>
      <c r="J183" s="23">
        <f>H183*AO183</f>
        <v>0</v>
      </c>
      <c r="K183" s="23">
        <f>H183*AP183</f>
        <v>0</v>
      </c>
      <c r="L183" s="23">
        <f>H183*I183</f>
        <v>0</v>
      </c>
      <c r="M183" s="34" t="s">
        <v>420</v>
      </c>
      <c r="N183" s="6"/>
      <c r="Z183" s="38">
        <f>IF(AQ183="5",BJ183,0)</f>
        <v>0</v>
      </c>
      <c r="AB183" s="38">
        <f>IF(AQ183="1",BH183,0)</f>
        <v>0</v>
      </c>
      <c r="AC183" s="38">
        <f>IF(AQ183="1",BI183,0)</f>
        <v>0</v>
      </c>
      <c r="AD183" s="38">
        <f>IF(AQ183="7",BH183,0)</f>
        <v>0</v>
      </c>
      <c r="AE183" s="38">
        <f>IF(AQ183="7",BI183,0)</f>
        <v>0</v>
      </c>
      <c r="AF183" s="38">
        <f>IF(AQ183="2",BH183,0)</f>
        <v>0</v>
      </c>
      <c r="AG183" s="38">
        <f>IF(AQ183="2",BI183,0)</f>
        <v>0</v>
      </c>
      <c r="AH183" s="38">
        <f>IF(AQ183="0",BJ183,0)</f>
        <v>0</v>
      </c>
      <c r="AI183" s="37"/>
      <c r="AJ183" s="23">
        <f>IF(AN183=0,L183,0)</f>
        <v>0</v>
      </c>
      <c r="AK183" s="23">
        <f>IF(AN183=15,L183,0)</f>
        <v>0</v>
      </c>
      <c r="AL183" s="23">
        <f>IF(AN183=21,L183,0)</f>
        <v>0</v>
      </c>
      <c r="AN183" s="38">
        <v>21</v>
      </c>
      <c r="AO183" s="38">
        <f>I183*0</f>
        <v>0</v>
      </c>
      <c r="AP183" s="38">
        <f>I183*(1-0)</f>
        <v>0</v>
      </c>
      <c r="AQ183" s="39" t="s">
        <v>11</v>
      </c>
      <c r="AV183" s="38">
        <f>AW183+AX183</f>
        <v>0</v>
      </c>
      <c r="AW183" s="38">
        <f>H183*AO183</f>
        <v>0</v>
      </c>
      <c r="AX183" s="38">
        <f>H183*AP183</f>
        <v>0</v>
      </c>
      <c r="AY183" s="41" t="s">
        <v>453</v>
      </c>
      <c r="AZ183" s="41" t="s">
        <v>468</v>
      </c>
      <c r="BA183" s="37" t="s">
        <v>471</v>
      </c>
      <c r="BC183" s="38">
        <f>AW183+AX183</f>
        <v>0</v>
      </c>
      <c r="BD183" s="38">
        <f>I183/(100-BE183)*100</f>
        <v>0</v>
      </c>
      <c r="BE183" s="38">
        <v>0</v>
      </c>
      <c r="BF183" s="38">
        <f>183</f>
        <v>183</v>
      </c>
      <c r="BH183" s="23">
        <f>H183*AO183</f>
        <v>0</v>
      </c>
      <c r="BI183" s="23">
        <f>H183*AP183</f>
        <v>0</v>
      </c>
      <c r="BJ183" s="23">
        <f>H183*I183</f>
        <v>0</v>
      </c>
      <c r="BK183" s="23" t="s">
        <v>476</v>
      </c>
      <c r="BL183" s="38" t="s">
        <v>158</v>
      </c>
    </row>
    <row r="184" spans="1:64" ht="12.75">
      <c r="A184" s="5" t="s">
        <v>68</v>
      </c>
      <c r="B184" s="15" t="s">
        <v>162</v>
      </c>
      <c r="C184" s="161" t="s">
        <v>348</v>
      </c>
      <c r="D184" s="162"/>
      <c r="E184" s="162"/>
      <c r="F184" s="162"/>
      <c r="G184" s="15" t="s">
        <v>401</v>
      </c>
      <c r="H184" s="23">
        <v>57.99</v>
      </c>
      <c r="I184" s="23">
        <v>0</v>
      </c>
      <c r="J184" s="23">
        <f>H184*AO184</f>
        <v>0</v>
      </c>
      <c r="K184" s="23">
        <f>H184*AP184</f>
        <v>0</v>
      </c>
      <c r="L184" s="23">
        <f>H184*I184</f>
        <v>0</v>
      </c>
      <c r="M184" s="34" t="s">
        <v>420</v>
      </c>
      <c r="N184" s="6"/>
      <c r="Z184" s="38">
        <f>IF(AQ184="5",BJ184,0)</f>
        <v>0</v>
      </c>
      <c r="AB184" s="38">
        <f>IF(AQ184="1",BH184,0)</f>
        <v>0</v>
      </c>
      <c r="AC184" s="38">
        <f>IF(AQ184="1",BI184,0)</f>
        <v>0</v>
      </c>
      <c r="AD184" s="38">
        <f>IF(AQ184="7",BH184,0)</f>
        <v>0</v>
      </c>
      <c r="AE184" s="38">
        <f>IF(AQ184="7",BI184,0)</f>
        <v>0</v>
      </c>
      <c r="AF184" s="38">
        <f>IF(AQ184="2",BH184,0)</f>
        <v>0</v>
      </c>
      <c r="AG184" s="38">
        <f>IF(AQ184="2",BI184,0)</f>
        <v>0</v>
      </c>
      <c r="AH184" s="38">
        <f>IF(AQ184="0",BJ184,0)</f>
        <v>0</v>
      </c>
      <c r="AI184" s="37"/>
      <c r="AJ184" s="23">
        <f>IF(AN184=0,L184,0)</f>
        <v>0</v>
      </c>
      <c r="AK184" s="23">
        <f>IF(AN184=15,L184,0)</f>
        <v>0</v>
      </c>
      <c r="AL184" s="23">
        <f>IF(AN184=21,L184,0)</f>
        <v>0</v>
      </c>
      <c r="AN184" s="38">
        <v>21</v>
      </c>
      <c r="AO184" s="38">
        <f>I184*0.0101215805471125</f>
        <v>0</v>
      </c>
      <c r="AP184" s="38">
        <f>I184*(1-0.0101215805471125)</f>
        <v>0</v>
      </c>
      <c r="AQ184" s="39" t="s">
        <v>11</v>
      </c>
      <c r="AV184" s="38">
        <f>AW184+AX184</f>
        <v>0</v>
      </c>
      <c r="AW184" s="38">
        <f>H184*AO184</f>
        <v>0</v>
      </c>
      <c r="AX184" s="38">
        <f>H184*AP184</f>
        <v>0</v>
      </c>
      <c r="AY184" s="41" t="s">
        <v>453</v>
      </c>
      <c r="AZ184" s="41" t="s">
        <v>468</v>
      </c>
      <c r="BA184" s="37" t="s">
        <v>471</v>
      </c>
      <c r="BC184" s="38">
        <f>AW184+AX184</f>
        <v>0</v>
      </c>
      <c r="BD184" s="38">
        <f>I184/(100-BE184)*100</f>
        <v>0</v>
      </c>
      <c r="BE184" s="38">
        <v>0</v>
      </c>
      <c r="BF184" s="38">
        <f>184</f>
        <v>184</v>
      </c>
      <c r="BH184" s="23">
        <f>H184*AO184</f>
        <v>0</v>
      </c>
      <c r="BI184" s="23">
        <f>H184*AP184</f>
        <v>0</v>
      </c>
      <c r="BJ184" s="23">
        <f>H184*I184</f>
        <v>0</v>
      </c>
      <c r="BK184" s="23" t="s">
        <v>476</v>
      </c>
      <c r="BL184" s="38" t="s">
        <v>158</v>
      </c>
    </row>
    <row r="185" spans="1:14" ht="12.75">
      <c r="A185" s="6"/>
      <c r="B185" s="16" t="s">
        <v>87</v>
      </c>
      <c r="C185" s="163" t="s">
        <v>349</v>
      </c>
      <c r="D185" s="164"/>
      <c r="E185" s="164"/>
      <c r="F185" s="164"/>
      <c r="G185" s="164"/>
      <c r="H185" s="164"/>
      <c r="I185" s="164"/>
      <c r="J185" s="164"/>
      <c r="K185" s="164"/>
      <c r="L185" s="164"/>
      <c r="M185" s="165"/>
      <c r="N185" s="6"/>
    </row>
    <row r="186" spans="1:64" ht="12.75">
      <c r="A186" s="5" t="s">
        <v>69</v>
      </c>
      <c r="B186" s="15" t="s">
        <v>163</v>
      </c>
      <c r="C186" s="161" t="s">
        <v>350</v>
      </c>
      <c r="D186" s="162"/>
      <c r="E186" s="162"/>
      <c r="F186" s="162"/>
      <c r="G186" s="15" t="s">
        <v>401</v>
      </c>
      <c r="H186" s="23">
        <v>347.94</v>
      </c>
      <c r="I186" s="23">
        <v>0</v>
      </c>
      <c r="J186" s="23">
        <f>H186*AO186</f>
        <v>0</v>
      </c>
      <c r="K186" s="23">
        <f>H186*AP186</f>
        <v>0</v>
      </c>
      <c r="L186" s="23">
        <f>H186*I186</f>
        <v>0</v>
      </c>
      <c r="M186" s="34" t="s">
        <v>420</v>
      </c>
      <c r="N186" s="6"/>
      <c r="Z186" s="38">
        <f>IF(AQ186="5",BJ186,0)</f>
        <v>0</v>
      </c>
      <c r="AB186" s="38">
        <f>IF(AQ186="1",BH186,0)</f>
        <v>0</v>
      </c>
      <c r="AC186" s="38">
        <f>IF(AQ186="1",BI186,0)</f>
        <v>0</v>
      </c>
      <c r="AD186" s="38">
        <f>IF(AQ186="7",BH186,0)</f>
        <v>0</v>
      </c>
      <c r="AE186" s="38">
        <f>IF(AQ186="7",BI186,0)</f>
        <v>0</v>
      </c>
      <c r="AF186" s="38">
        <f>IF(AQ186="2",BH186,0)</f>
        <v>0</v>
      </c>
      <c r="AG186" s="38">
        <f>IF(AQ186="2",BI186,0)</f>
        <v>0</v>
      </c>
      <c r="AH186" s="38">
        <f>IF(AQ186="0",BJ186,0)</f>
        <v>0</v>
      </c>
      <c r="AI186" s="37"/>
      <c r="AJ186" s="23">
        <f>IF(AN186=0,L186,0)</f>
        <v>0</v>
      </c>
      <c r="AK186" s="23">
        <f>IF(AN186=15,L186,0)</f>
        <v>0</v>
      </c>
      <c r="AL186" s="23">
        <f>IF(AN186=21,L186,0)</f>
        <v>0</v>
      </c>
      <c r="AN186" s="38">
        <v>21</v>
      </c>
      <c r="AO186" s="38">
        <f>I186*0</f>
        <v>0</v>
      </c>
      <c r="AP186" s="38">
        <f>I186*(1-0)</f>
        <v>0</v>
      </c>
      <c r="AQ186" s="39" t="s">
        <v>11</v>
      </c>
      <c r="AV186" s="38">
        <f>AW186+AX186</f>
        <v>0</v>
      </c>
      <c r="AW186" s="38">
        <f>H186*AO186</f>
        <v>0</v>
      </c>
      <c r="AX186" s="38">
        <f>H186*AP186</f>
        <v>0</v>
      </c>
      <c r="AY186" s="41" t="s">
        <v>453</v>
      </c>
      <c r="AZ186" s="41" t="s">
        <v>468</v>
      </c>
      <c r="BA186" s="37" t="s">
        <v>471</v>
      </c>
      <c r="BC186" s="38">
        <f>AW186+AX186</f>
        <v>0</v>
      </c>
      <c r="BD186" s="38">
        <f>I186/(100-BE186)*100</f>
        <v>0</v>
      </c>
      <c r="BE186" s="38">
        <v>0</v>
      </c>
      <c r="BF186" s="38">
        <f>186</f>
        <v>186</v>
      </c>
      <c r="BH186" s="23">
        <f>H186*AO186</f>
        <v>0</v>
      </c>
      <c r="BI186" s="23">
        <f>H186*AP186</f>
        <v>0</v>
      </c>
      <c r="BJ186" s="23">
        <f>H186*I186</f>
        <v>0</v>
      </c>
      <c r="BK186" s="23" t="s">
        <v>476</v>
      </c>
      <c r="BL186" s="38" t="s">
        <v>158</v>
      </c>
    </row>
    <row r="187" spans="1:14" ht="12.75">
      <c r="A187" s="6"/>
      <c r="B187" s="17" t="s">
        <v>84</v>
      </c>
      <c r="C187" s="166" t="s">
        <v>351</v>
      </c>
      <c r="D187" s="167"/>
      <c r="E187" s="167"/>
      <c r="F187" s="167"/>
      <c r="G187" s="167"/>
      <c r="H187" s="167"/>
      <c r="I187" s="167"/>
      <c r="J187" s="167"/>
      <c r="K187" s="167"/>
      <c r="L187" s="167"/>
      <c r="M187" s="168"/>
      <c r="N187" s="6"/>
    </row>
    <row r="188" spans="1:47" ht="12.75">
      <c r="A188" s="4"/>
      <c r="B188" s="14"/>
      <c r="C188" s="159" t="s">
        <v>352</v>
      </c>
      <c r="D188" s="160"/>
      <c r="E188" s="160"/>
      <c r="F188" s="160"/>
      <c r="G188" s="21" t="s">
        <v>6</v>
      </c>
      <c r="H188" s="21" t="s">
        <v>6</v>
      </c>
      <c r="I188" s="21" t="s">
        <v>6</v>
      </c>
      <c r="J188" s="44">
        <f>SUM(J189:J207)</f>
        <v>0</v>
      </c>
      <c r="K188" s="44">
        <f>SUM(K189:K207)</f>
        <v>0</v>
      </c>
      <c r="L188" s="44">
        <f>SUM(L189:L207)</f>
        <v>0</v>
      </c>
      <c r="M188" s="33"/>
      <c r="N188" s="6"/>
      <c r="AI188" s="37"/>
      <c r="AS188" s="44">
        <f>SUM(AJ189:AJ207)</f>
        <v>0</v>
      </c>
      <c r="AT188" s="44">
        <f>SUM(AK189:AK207)</f>
        <v>0</v>
      </c>
      <c r="AU188" s="44">
        <f>SUM(AL189:AL207)</f>
        <v>0</v>
      </c>
    </row>
    <row r="189" spans="1:64" ht="12.75">
      <c r="A189" s="7" t="s">
        <v>70</v>
      </c>
      <c r="B189" s="18" t="s">
        <v>164</v>
      </c>
      <c r="C189" s="174" t="s">
        <v>353</v>
      </c>
      <c r="D189" s="175"/>
      <c r="E189" s="175"/>
      <c r="F189" s="175"/>
      <c r="G189" s="18" t="s">
        <v>396</v>
      </c>
      <c r="H189" s="24">
        <v>476.44</v>
      </c>
      <c r="I189" s="24">
        <v>0</v>
      </c>
      <c r="J189" s="24">
        <f>H189*AO189</f>
        <v>0</v>
      </c>
      <c r="K189" s="24">
        <f>H189*AP189</f>
        <v>0</v>
      </c>
      <c r="L189" s="24">
        <f>H189*I189</f>
        <v>0</v>
      </c>
      <c r="M189" s="35" t="s">
        <v>420</v>
      </c>
      <c r="N189" s="6"/>
      <c r="Z189" s="38">
        <f>IF(AQ189="5",BJ189,0)</f>
        <v>0</v>
      </c>
      <c r="AB189" s="38">
        <f>IF(AQ189="1",BH189,0)</f>
        <v>0</v>
      </c>
      <c r="AC189" s="38">
        <f>IF(AQ189="1",BI189,0)</f>
        <v>0</v>
      </c>
      <c r="AD189" s="38">
        <f>IF(AQ189="7",BH189,0)</f>
        <v>0</v>
      </c>
      <c r="AE189" s="38">
        <f>IF(AQ189="7",BI189,0)</f>
        <v>0</v>
      </c>
      <c r="AF189" s="38">
        <f>IF(AQ189="2",BH189,0)</f>
        <v>0</v>
      </c>
      <c r="AG189" s="38">
        <f>IF(AQ189="2",BI189,0)</f>
        <v>0</v>
      </c>
      <c r="AH189" s="38">
        <f>IF(AQ189="0",BJ189,0)</f>
        <v>0</v>
      </c>
      <c r="AI189" s="37"/>
      <c r="AJ189" s="24">
        <f>IF(AN189=0,L189,0)</f>
        <v>0</v>
      </c>
      <c r="AK189" s="24">
        <f>IF(AN189=15,L189,0)</f>
        <v>0</v>
      </c>
      <c r="AL189" s="24">
        <f>IF(AN189=21,L189,0)</f>
        <v>0</v>
      </c>
      <c r="AN189" s="38">
        <v>21</v>
      </c>
      <c r="AO189" s="38">
        <f>I189*1</f>
        <v>0</v>
      </c>
      <c r="AP189" s="38">
        <f>I189*(1-1)</f>
        <v>0</v>
      </c>
      <c r="AQ189" s="40" t="s">
        <v>430</v>
      </c>
      <c r="AV189" s="38">
        <f>AW189+AX189</f>
        <v>0</v>
      </c>
      <c r="AW189" s="38">
        <f>H189*AO189</f>
        <v>0</v>
      </c>
      <c r="AX189" s="38">
        <f>H189*AP189</f>
        <v>0</v>
      </c>
      <c r="AY189" s="41" t="s">
        <v>454</v>
      </c>
      <c r="AZ189" s="41" t="s">
        <v>469</v>
      </c>
      <c r="BA189" s="37" t="s">
        <v>471</v>
      </c>
      <c r="BC189" s="38">
        <f>AW189+AX189</f>
        <v>0</v>
      </c>
      <c r="BD189" s="38">
        <f>I189/(100-BE189)*100</f>
        <v>0</v>
      </c>
      <c r="BE189" s="38">
        <v>0</v>
      </c>
      <c r="BF189" s="38">
        <f>189</f>
        <v>189</v>
      </c>
      <c r="BH189" s="24">
        <f>H189*AO189</f>
        <v>0</v>
      </c>
      <c r="BI189" s="24">
        <f>H189*AP189</f>
        <v>0</v>
      </c>
      <c r="BJ189" s="24">
        <f>H189*I189</f>
        <v>0</v>
      </c>
      <c r="BK189" s="24" t="s">
        <v>477</v>
      </c>
      <c r="BL189" s="38"/>
    </row>
    <row r="190" spans="1:14" ht="12.75">
      <c r="A190" s="6"/>
      <c r="B190" s="16" t="s">
        <v>87</v>
      </c>
      <c r="C190" s="163" t="s">
        <v>354</v>
      </c>
      <c r="D190" s="164"/>
      <c r="E190" s="164"/>
      <c r="F190" s="164"/>
      <c r="G190" s="164"/>
      <c r="H190" s="164"/>
      <c r="I190" s="164"/>
      <c r="J190" s="164"/>
      <c r="K190" s="164"/>
      <c r="L190" s="164"/>
      <c r="M190" s="165"/>
      <c r="N190" s="6"/>
    </row>
    <row r="191" spans="1:64" ht="12.75">
      <c r="A191" s="7" t="s">
        <v>71</v>
      </c>
      <c r="B191" s="18" t="s">
        <v>165</v>
      </c>
      <c r="C191" s="174" t="s">
        <v>355</v>
      </c>
      <c r="D191" s="175"/>
      <c r="E191" s="175"/>
      <c r="F191" s="175"/>
      <c r="G191" s="18" t="s">
        <v>396</v>
      </c>
      <c r="H191" s="24">
        <v>603.83</v>
      </c>
      <c r="I191" s="24">
        <v>0</v>
      </c>
      <c r="J191" s="24">
        <f>H191*AO191</f>
        <v>0</v>
      </c>
      <c r="K191" s="24">
        <f>H191*AP191</f>
        <v>0</v>
      </c>
      <c r="L191" s="24">
        <f>H191*I191</f>
        <v>0</v>
      </c>
      <c r="M191" s="35" t="s">
        <v>420</v>
      </c>
      <c r="N191" s="6"/>
      <c r="Z191" s="38">
        <f>IF(AQ191="5",BJ191,0)</f>
        <v>0</v>
      </c>
      <c r="AB191" s="38">
        <f>IF(AQ191="1",BH191,0)</f>
        <v>0</v>
      </c>
      <c r="AC191" s="38">
        <f>IF(AQ191="1",BI191,0)</f>
        <v>0</v>
      </c>
      <c r="AD191" s="38">
        <f>IF(AQ191="7",BH191,0)</f>
        <v>0</v>
      </c>
      <c r="AE191" s="38">
        <f>IF(AQ191="7",BI191,0)</f>
        <v>0</v>
      </c>
      <c r="AF191" s="38">
        <f>IF(AQ191="2",BH191,0)</f>
        <v>0</v>
      </c>
      <c r="AG191" s="38">
        <f>IF(AQ191="2",BI191,0)</f>
        <v>0</v>
      </c>
      <c r="AH191" s="38">
        <f>IF(AQ191="0",BJ191,0)</f>
        <v>0</v>
      </c>
      <c r="AI191" s="37"/>
      <c r="AJ191" s="24">
        <f>IF(AN191=0,L191,0)</f>
        <v>0</v>
      </c>
      <c r="AK191" s="24">
        <f>IF(AN191=15,L191,0)</f>
        <v>0</v>
      </c>
      <c r="AL191" s="24">
        <f>IF(AN191=21,L191,0)</f>
        <v>0</v>
      </c>
      <c r="AN191" s="38">
        <v>21</v>
      </c>
      <c r="AO191" s="38">
        <f>I191*1</f>
        <v>0</v>
      </c>
      <c r="AP191" s="38">
        <f>I191*(1-1)</f>
        <v>0</v>
      </c>
      <c r="AQ191" s="40" t="s">
        <v>430</v>
      </c>
      <c r="AV191" s="38">
        <f>AW191+AX191</f>
        <v>0</v>
      </c>
      <c r="AW191" s="38">
        <f>H191*AO191</f>
        <v>0</v>
      </c>
      <c r="AX191" s="38">
        <f>H191*AP191</f>
        <v>0</v>
      </c>
      <c r="AY191" s="41" t="s">
        <v>454</v>
      </c>
      <c r="AZ191" s="41" t="s">
        <v>469</v>
      </c>
      <c r="BA191" s="37" t="s">
        <v>471</v>
      </c>
      <c r="BC191" s="38">
        <f>AW191+AX191</f>
        <v>0</v>
      </c>
      <c r="BD191" s="38">
        <f>I191/(100-BE191)*100</f>
        <v>0</v>
      </c>
      <c r="BE191" s="38">
        <v>0</v>
      </c>
      <c r="BF191" s="38">
        <f>191</f>
        <v>191</v>
      </c>
      <c r="BH191" s="24">
        <f>H191*AO191</f>
        <v>0</v>
      </c>
      <c r="BI191" s="24">
        <f>H191*AP191</f>
        <v>0</v>
      </c>
      <c r="BJ191" s="24">
        <f>H191*I191</f>
        <v>0</v>
      </c>
      <c r="BK191" s="24" t="s">
        <v>477</v>
      </c>
      <c r="BL191" s="38"/>
    </row>
    <row r="192" spans="1:14" ht="12.75">
      <c r="A192" s="6"/>
      <c r="B192" s="16" t="s">
        <v>87</v>
      </c>
      <c r="C192" s="163" t="s">
        <v>356</v>
      </c>
      <c r="D192" s="164"/>
      <c r="E192" s="164"/>
      <c r="F192" s="164"/>
      <c r="G192" s="164"/>
      <c r="H192" s="164"/>
      <c r="I192" s="164"/>
      <c r="J192" s="164"/>
      <c r="K192" s="164"/>
      <c r="L192" s="164"/>
      <c r="M192" s="165"/>
      <c r="N192" s="6"/>
    </row>
    <row r="193" spans="1:64" ht="12.75">
      <c r="A193" s="7" t="s">
        <v>72</v>
      </c>
      <c r="B193" s="18" t="s">
        <v>166</v>
      </c>
      <c r="C193" s="174" t="s">
        <v>357</v>
      </c>
      <c r="D193" s="175"/>
      <c r="E193" s="175"/>
      <c r="F193" s="175"/>
      <c r="G193" s="18" t="s">
        <v>397</v>
      </c>
      <c r="H193" s="24">
        <v>22</v>
      </c>
      <c r="I193" s="24">
        <v>0</v>
      </c>
      <c r="J193" s="24">
        <f>H193*AO193</f>
        <v>0</v>
      </c>
      <c r="K193" s="24">
        <f>H193*AP193</f>
        <v>0</v>
      </c>
      <c r="L193" s="24">
        <f>H193*I193</f>
        <v>0</v>
      </c>
      <c r="M193" s="35" t="s">
        <v>420</v>
      </c>
      <c r="N193" s="6"/>
      <c r="Z193" s="38">
        <f>IF(AQ193="5",BJ193,0)</f>
        <v>0</v>
      </c>
      <c r="AB193" s="38">
        <f>IF(AQ193="1",BH193,0)</f>
        <v>0</v>
      </c>
      <c r="AC193" s="38">
        <f>IF(AQ193="1",BI193,0)</f>
        <v>0</v>
      </c>
      <c r="AD193" s="38">
        <f>IF(AQ193="7",BH193,0)</f>
        <v>0</v>
      </c>
      <c r="AE193" s="38">
        <f>IF(AQ193="7",BI193,0)</f>
        <v>0</v>
      </c>
      <c r="AF193" s="38">
        <f>IF(AQ193="2",BH193,0)</f>
        <v>0</v>
      </c>
      <c r="AG193" s="38">
        <f>IF(AQ193="2",BI193,0)</f>
        <v>0</v>
      </c>
      <c r="AH193" s="38">
        <f>IF(AQ193="0",BJ193,0)</f>
        <v>0</v>
      </c>
      <c r="AI193" s="37"/>
      <c r="AJ193" s="24">
        <f>IF(AN193=0,L193,0)</f>
        <v>0</v>
      </c>
      <c r="AK193" s="24">
        <f>IF(AN193=15,L193,0)</f>
        <v>0</v>
      </c>
      <c r="AL193" s="24">
        <f>IF(AN193=21,L193,0)</f>
        <v>0</v>
      </c>
      <c r="AN193" s="38">
        <v>21</v>
      </c>
      <c r="AO193" s="38">
        <f>I193*1</f>
        <v>0</v>
      </c>
      <c r="AP193" s="38">
        <f>I193*(1-1)</f>
        <v>0</v>
      </c>
      <c r="AQ193" s="40" t="s">
        <v>430</v>
      </c>
      <c r="AV193" s="38">
        <f>AW193+AX193</f>
        <v>0</v>
      </c>
      <c r="AW193" s="38">
        <f>H193*AO193</f>
        <v>0</v>
      </c>
      <c r="AX193" s="38">
        <f>H193*AP193</f>
        <v>0</v>
      </c>
      <c r="AY193" s="41" t="s">
        <v>454</v>
      </c>
      <c r="AZ193" s="41" t="s">
        <v>469</v>
      </c>
      <c r="BA193" s="37" t="s">
        <v>471</v>
      </c>
      <c r="BC193" s="38">
        <f>AW193+AX193</f>
        <v>0</v>
      </c>
      <c r="BD193" s="38">
        <f>I193/(100-BE193)*100</f>
        <v>0</v>
      </c>
      <c r="BE193" s="38">
        <v>0</v>
      </c>
      <c r="BF193" s="38">
        <f>193</f>
        <v>193</v>
      </c>
      <c r="BH193" s="24">
        <f>H193*AO193</f>
        <v>0</v>
      </c>
      <c r="BI193" s="24">
        <f>H193*AP193</f>
        <v>0</v>
      </c>
      <c r="BJ193" s="24">
        <f>H193*I193</f>
        <v>0</v>
      </c>
      <c r="BK193" s="24" t="s">
        <v>477</v>
      </c>
      <c r="BL193" s="38"/>
    </row>
    <row r="194" spans="1:14" ht="25.5" customHeight="1">
      <c r="A194" s="6"/>
      <c r="B194" s="16" t="s">
        <v>87</v>
      </c>
      <c r="C194" s="163" t="s">
        <v>358</v>
      </c>
      <c r="D194" s="164"/>
      <c r="E194" s="164"/>
      <c r="F194" s="164"/>
      <c r="G194" s="164"/>
      <c r="H194" s="164"/>
      <c r="I194" s="164"/>
      <c r="J194" s="164"/>
      <c r="K194" s="164"/>
      <c r="L194" s="164"/>
      <c r="M194" s="165"/>
      <c r="N194" s="6"/>
    </row>
    <row r="195" spans="1:14" ht="12.75">
      <c r="A195" s="6"/>
      <c r="B195" s="17" t="s">
        <v>84</v>
      </c>
      <c r="C195" s="166" t="s">
        <v>359</v>
      </c>
      <c r="D195" s="167"/>
      <c r="E195" s="167"/>
      <c r="F195" s="167"/>
      <c r="G195" s="167"/>
      <c r="H195" s="167"/>
      <c r="I195" s="167"/>
      <c r="J195" s="167"/>
      <c r="K195" s="167"/>
      <c r="L195" s="167"/>
      <c r="M195" s="168"/>
      <c r="N195" s="6"/>
    </row>
    <row r="196" spans="1:64" ht="12.75">
      <c r="A196" s="7" t="s">
        <v>73</v>
      </c>
      <c r="B196" s="18" t="s">
        <v>167</v>
      </c>
      <c r="C196" s="174" t="s">
        <v>360</v>
      </c>
      <c r="D196" s="175"/>
      <c r="E196" s="175"/>
      <c r="F196" s="175"/>
      <c r="G196" s="18" t="s">
        <v>394</v>
      </c>
      <c r="H196" s="24">
        <v>1.683</v>
      </c>
      <c r="I196" s="24">
        <v>0</v>
      </c>
      <c r="J196" s="24">
        <f>H196*AO196</f>
        <v>0</v>
      </c>
      <c r="K196" s="24">
        <f>H196*AP196</f>
        <v>0</v>
      </c>
      <c r="L196" s="24">
        <f>H196*I196</f>
        <v>0</v>
      </c>
      <c r="M196" s="35" t="s">
        <v>420</v>
      </c>
      <c r="N196" s="6"/>
      <c r="Z196" s="38">
        <f>IF(AQ196="5",BJ196,0)</f>
        <v>0</v>
      </c>
      <c r="AB196" s="38">
        <f>IF(AQ196="1",BH196,0)</f>
        <v>0</v>
      </c>
      <c r="AC196" s="38">
        <f>IF(AQ196="1",BI196,0)</f>
        <v>0</v>
      </c>
      <c r="AD196" s="38">
        <f>IF(AQ196="7",BH196,0)</f>
        <v>0</v>
      </c>
      <c r="AE196" s="38">
        <f>IF(AQ196="7",BI196,0)</f>
        <v>0</v>
      </c>
      <c r="AF196" s="38">
        <f>IF(AQ196="2",BH196,0)</f>
        <v>0</v>
      </c>
      <c r="AG196" s="38">
        <f>IF(AQ196="2",BI196,0)</f>
        <v>0</v>
      </c>
      <c r="AH196" s="38">
        <f>IF(AQ196="0",BJ196,0)</f>
        <v>0</v>
      </c>
      <c r="AI196" s="37"/>
      <c r="AJ196" s="24">
        <f>IF(AN196=0,L196,0)</f>
        <v>0</v>
      </c>
      <c r="AK196" s="24">
        <f>IF(AN196=15,L196,0)</f>
        <v>0</v>
      </c>
      <c r="AL196" s="24">
        <f>IF(AN196=21,L196,0)</f>
        <v>0</v>
      </c>
      <c r="AN196" s="38">
        <v>21</v>
      </c>
      <c r="AO196" s="38">
        <f>I196*1</f>
        <v>0</v>
      </c>
      <c r="AP196" s="38">
        <f>I196*(1-1)</f>
        <v>0</v>
      </c>
      <c r="AQ196" s="40" t="s">
        <v>430</v>
      </c>
      <c r="AV196" s="38">
        <f>AW196+AX196</f>
        <v>0</v>
      </c>
      <c r="AW196" s="38">
        <f>H196*AO196</f>
        <v>0</v>
      </c>
      <c r="AX196" s="38">
        <f>H196*AP196</f>
        <v>0</v>
      </c>
      <c r="AY196" s="41" t="s">
        <v>454</v>
      </c>
      <c r="AZ196" s="41" t="s">
        <v>469</v>
      </c>
      <c r="BA196" s="37" t="s">
        <v>471</v>
      </c>
      <c r="BC196" s="38">
        <f>AW196+AX196</f>
        <v>0</v>
      </c>
      <c r="BD196" s="38">
        <f>I196/(100-BE196)*100</f>
        <v>0</v>
      </c>
      <c r="BE196" s="38">
        <v>0</v>
      </c>
      <c r="BF196" s="38">
        <f>196</f>
        <v>196</v>
      </c>
      <c r="BH196" s="24">
        <f>H196*AO196</f>
        <v>0</v>
      </c>
      <c r="BI196" s="24">
        <f>H196*AP196</f>
        <v>0</v>
      </c>
      <c r="BJ196" s="24">
        <f>H196*I196</f>
        <v>0</v>
      </c>
      <c r="BK196" s="24" t="s">
        <v>477</v>
      </c>
      <c r="BL196" s="38"/>
    </row>
    <row r="197" spans="1:14" ht="25.5" customHeight="1">
      <c r="A197" s="6"/>
      <c r="B197" s="16" t="s">
        <v>87</v>
      </c>
      <c r="C197" s="163" t="s">
        <v>361</v>
      </c>
      <c r="D197" s="164"/>
      <c r="E197" s="164"/>
      <c r="F197" s="164"/>
      <c r="G197" s="164"/>
      <c r="H197" s="164"/>
      <c r="I197" s="164"/>
      <c r="J197" s="164"/>
      <c r="K197" s="164"/>
      <c r="L197" s="164"/>
      <c r="M197" s="165"/>
      <c r="N197" s="6"/>
    </row>
    <row r="198" spans="1:14" ht="12.75">
      <c r="A198" s="6"/>
      <c r="B198" s="17" t="s">
        <v>84</v>
      </c>
      <c r="C198" s="166" t="s">
        <v>359</v>
      </c>
      <c r="D198" s="167"/>
      <c r="E198" s="167"/>
      <c r="F198" s="167"/>
      <c r="G198" s="167"/>
      <c r="H198" s="167"/>
      <c r="I198" s="167"/>
      <c r="J198" s="167"/>
      <c r="K198" s="167"/>
      <c r="L198" s="167"/>
      <c r="M198" s="168"/>
      <c r="N198" s="6"/>
    </row>
    <row r="199" spans="1:64" ht="12.75">
      <c r="A199" s="7" t="s">
        <v>74</v>
      </c>
      <c r="B199" s="18" t="s">
        <v>168</v>
      </c>
      <c r="C199" s="174" t="s">
        <v>362</v>
      </c>
      <c r="D199" s="175"/>
      <c r="E199" s="175"/>
      <c r="F199" s="175"/>
      <c r="G199" s="18" t="s">
        <v>397</v>
      </c>
      <c r="H199" s="24">
        <v>20.4</v>
      </c>
      <c r="I199" s="24">
        <v>0</v>
      </c>
      <c r="J199" s="24">
        <f>H199*AO199</f>
        <v>0</v>
      </c>
      <c r="K199" s="24">
        <f>H199*AP199</f>
        <v>0</v>
      </c>
      <c r="L199" s="24">
        <f>H199*I199</f>
        <v>0</v>
      </c>
      <c r="M199" s="35" t="s">
        <v>420</v>
      </c>
      <c r="N199" s="6"/>
      <c r="Z199" s="38">
        <f>IF(AQ199="5",BJ199,0)</f>
        <v>0</v>
      </c>
      <c r="AB199" s="38">
        <f>IF(AQ199="1",BH199,0)</f>
        <v>0</v>
      </c>
      <c r="AC199" s="38">
        <f>IF(AQ199="1",BI199,0)</f>
        <v>0</v>
      </c>
      <c r="AD199" s="38">
        <f>IF(AQ199="7",BH199,0)</f>
        <v>0</v>
      </c>
      <c r="AE199" s="38">
        <f>IF(AQ199="7",BI199,0)</f>
        <v>0</v>
      </c>
      <c r="AF199" s="38">
        <f>IF(AQ199="2",BH199,0)</f>
        <v>0</v>
      </c>
      <c r="AG199" s="38">
        <f>IF(AQ199="2",BI199,0)</f>
        <v>0</v>
      </c>
      <c r="AH199" s="38">
        <f>IF(AQ199="0",BJ199,0)</f>
        <v>0</v>
      </c>
      <c r="AI199" s="37"/>
      <c r="AJ199" s="24">
        <f>IF(AN199=0,L199,0)</f>
        <v>0</v>
      </c>
      <c r="AK199" s="24">
        <f>IF(AN199=15,L199,0)</f>
        <v>0</v>
      </c>
      <c r="AL199" s="24">
        <f>IF(AN199=21,L199,0)</f>
        <v>0</v>
      </c>
      <c r="AN199" s="38">
        <v>21</v>
      </c>
      <c r="AO199" s="38">
        <f>I199*1</f>
        <v>0</v>
      </c>
      <c r="AP199" s="38">
        <f>I199*(1-1)</f>
        <v>0</v>
      </c>
      <c r="AQ199" s="40" t="s">
        <v>430</v>
      </c>
      <c r="AV199" s="38">
        <f>AW199+AX199</f>
        <v>0</v>
      </c>
      <c r="AW199" s="38">
        <f>H199*AO199</f>
        <v>0</v>
      </c>
      <c r="AX199" s="38">
        <f>H199*AP199</f>
        <v>0</v>
      </c>
      <c r="AY199" s="41" t="s">
        <v>454</v>
      </c>
      <c r="AZ199" s="41" t="s">
        <v>469</v>
      </c>
      <c r="BA199" s="37" t="s">
        <v>471</v>
      </c>
      <c r="BC199" s="38">
        <f>AW199+AX199</f>
        <v>0</v>
      </c>
      <c r="BD199" s="38">
        <f>I199/(100-BE199)*100</f>
        <v>0</v>
      </c>
      <c r="BE199" s="38">
        <v>0</v>
      </c>
      <c r="BF199" s="38">
        <f>199</f>
        <v>199</v>
      </c>
      <c r="BH199" s="24">
        <f>H199*AO199</f>
        <v>0</v>
      </c>
      <c r="BI199" s="24">
        <f>H199*AP199</f>
        <v>0</v>
      </c>
      <c r="BJ199" s="24">
        <f>H199*I199</f>
        <v>0</v>
      </c>
      <c r="BK199" s="24" t="s">
        <v>477</v>
      </c>
      <c r="BL199" s="38"/>
    </row>
    <row r="200" spans="1:14" ht="25.5" customHeight="1">
      <c r="A200" s="6"/>
      <c r="B200" s="16" t="s">
        <v>87</v>
      </c>
      <c r="C200" s="163" t="s">
        <v>361</v>
      </c>
      <c r="D200" s="164"/>
      <c r="E200" s="164"/>
      <c r="F200" s="164"/>
      <c r="G200" s="164"/>
      <c r="H200" s="164"/>
      <c r="I200" s="164"/>
      <c r="J200" s="164"/>
      <c r="K200" s="164"/>
      <c r="L200" s="164"/>
      <c r="M200" s="165"/>
      <c r="N200" s="6"/>
    </row>
    <row r="201" spans="1:14" ht="12.75">
      <c r="A201" s="6"/>
      <c r="B201" s="17" t="s">
        <v>84</v>
      </c>
      <c r="C201" s="166" t="s">
        <v>359</v>
      </c>
      <c r="D201" s="167"/>
      <c r="E201" s="167"/>
      <c r="F201" s="167"/>
      <c r="G201" s="167"/>
      <c r="H201" s="167"/>
      <c r="I201" s="167"/>
      <c r="J201" s="167"/>
      <c r="K201" s="167"/>
      <c r="L201" s="167"/>
      <c r="M201" s="168"/>
      <c r="N201" s="6"/>
    </row>
    <row r="202" spans="1:64" ht="12.75">
      <c r="A202" s="7" t="s">
        <v>75</v>
      </c>
      <c r="B202" s="18" t="s">
        <v>169</v>
      </c>
      <c r="C202" s="174" t="s">
        <v>363</v>
      </c>
      <c r="D202" s="175"/>
      <c r="E202" s="175"/>
      <c r="F202" s="175"/>
      <c r="G202" s="18" t="s">
        <v>397</v>
      </c>
      <c r="H202" s="24">
        <v>1</v>
      </c>
      <c r="I202" s="24">
        <v>0</v>
      </c>
      <c r="J202" s="24">
        <f>H202*AO202</f>
        <v>0</v>
      </c>
      <c r="K202" s="24">
        <f>H202*AP202</f>
        <v>0</v>
      </c>
      <c r="L202" s="24">
        <f>H202*I202</f>
        <v>0</v>
      </c>
      <c r="M202" s="35" t="s">
        <v>420</v>
      </c>
      <c r="N202" s="6"/>
      <c r="Z202" s="38">
        <f>IF(AQ202="5",BJ202,0)</f>
        <v>0</v>
      </c>
      <c r="AB202" s="38">
        <f>IF(AQ202="1",BH202,0)</f>
        <v>0</v>
      </c>
      <c r="AC202" s="38">
        <f>IF(AQ202="1",BI202,0)</f>
        <v>0</v>
      </c>
      <c r="AD202" s="38">
        <f>IF(AQ202="7",BH202,0)</f>
        <v>0</v>
      </c>
      <c r="AE202" s="38">
        <f>IF(AQ202="7",BI202,0)</f>
        <v>0</v>
      </c>
      <c r="AF202" s="38">
        <f>IF(AQ202="2",BH202,0)</f>
        <v>0</v>
      </c>
      <c r="AG202" s="38">
        <f>IF(AQ202="2",BI202,0)</f>
        <v>0</v>
      </c>
      <c r="AH202" s="38">
        <f>IF(AQ202="0",BJ202,0)</f>
        <v>0</v>
      </c>
      <c r="AI202" s="37"/>
      <c r="AJ202" s="24">
        <f>IF(AN202=0,L202,0)</f>
        <v>0</v>
      </c>
      <c r="AK202" s="24">
        <f>IF(AN202=15,L202,0)</f>
        <v>0</v>
      </c>
      <c r="AL202" s="24">
        <f>IF(AN202=21,L202,0)</f>
        <v>0</v>
      </c>
      <c r="AN202" s="38">
        <v>21</v>
      </c>
      <c r="AO202" s="38">
        <f>I202*1</f>
        <v>0</v>
      </c>
      <c r="AP202" s="38">
        <f>I202*(1-1)</f>
        <v>0</v>
      </c>
      <c r="AQ202" s="40" t="s">
        <v>430</v>
      </c>
      <c r="AV202" s="38">
        <f>AW202+AX202</f>
        <v>0</v>
      </c>
      <c r="AW202" s="38">
        <f>H202*AO202</f>
        <v>0</v>
      </c>
      <c r="AX202" s="38">
        <f>H202*AP202</f>
        <v>0</v>
      </c>
      <c r="AY202" s="41" t="s">
        <v>454</v>
      </c>
      <c r="AZ202" s="41" t="s">
        <v>469</v>
      </c>
      <c r="BA202" s="37" t="s">
        <v>471</v>
      </c>
      <c r="BC202" s="38">
        <f>AW202+AX202</f>
        <v>0</v>
      </c>
      <c r="BD202" s="38">
        <f>I202/(100-BE202)*100</f>
        <v>0</v>
      </c>
      <c r="BE202" s="38">
        <v>0</v>
      </c>
      <c r="BF202" s="38">
        <f>202</f>
        <v>202</v>
      </c>
      <c r="BH202" s="24">
        <f>H202*AO202</f>
        <v>0</v>
      </c>
      <c r="BI202" s="24">
        <f>H202*AP202</f>
        <v>0</v>
      </c>
      <c r="BJ202" s="24">
        <f>H202*I202</f>
        <v>0</v>
      </c>
      <c r="BK202" s="24" t="s">
        <v>477</v>
      </c>
      <c r="BL202" s="38"/>
    </row>
    <row r="203" spans="1:14" ht="25.5" customHeight="1">
      <c r="A203" s="6"/>
      <c r="B203" s="16" t="s">
        <v>87</v>
      </c>
      <c r="C203" s="163" t="s">
        <v>364</v>
      </c>
      <c r="D203" s="164"/>
      <c r="E203" s="164"/>
      <c r="F203" s="164"/>
      <c r="G203" s="164"/>
      <c r="H203" s="164"/>
      <c r="I203" s="164"/>
      <c r="J203" s="164"/>
      <c r="K203" s="164"/>
      <c r="L203" s="164"/>
      <c r="M203" s="165"/>
      <c r="N203" s="6"/>
    </row>
    <row r="204" spans="1:14" ht="12.75">
      <c r="A204" s="6"/>
      <c r="B204" s="17" t="s">
        <v>84</v>
      </c>
      <c r="C204" s="166" t="s">
        <v>365</v>
      </c>
      <c r="D204" s="167"/>
      <c r="E204" s="167"/>
      <c r="F204" s="167"/>
      <c r="G204" s="167"/>
      <c r="H204" s="167"/>
      <c r="I204" s="167"/>
      <c r="J204" s="167"/>
      <c r="K204" s="167"/>
      <c r="L204" s="167"/>
      <c r="M204" s="168"/>
      <c r="N204" s="6"/>
    </row>
    <row r="205" spans="1:64" ht="12.75">
      <c r="A205" s="67" t="s">
        <v>76</v>
      </c>
      <c r="B205" s="67" t="s">
        <v>170</v>
      </c>
      <c r="C205" s="176" t="s">
        <v>366</v>
      </c>
      <c r="D205" s="175"/>
      <c r="E205" s="175"/>
      <c r="F205" s="177"/>
      <c r="G205" s="67" t="s">
        <v>394</v>
      </c>
      <c r="H205" s="68">
        <v>253.66</v>
      </c>
      <c r="I205" s="68">
        <v>0</v>
      </c>
      <c r="J205" s="68">
        <f>H205*AO205</f>
        <v>0</v>
      </c>
      <c r="K205" s="68">
        <f>H205*AP205</f>
        <v>0</v>
      </c>
      <c r="L205" s="68">
        <f>H205*I205</f>
        <v>0</v>
      </c>
      <c r="M205" s="69" t="s">
        <v>420</v>
      </c>
      <c r="N205" s="66"/>
      <c r="Z205" s="38">
        <f>IF(AQ205="5",BJ205,0)</f>
        <v>0</v>
      </c>
      <c r="AB205" s="38">
        <f>IF(AQ205="1",BH205,0)</f>
        <v>0</v>
      </c>
      <c r="AC205" s="38">
        <f>IF(AQ205="1",BI205,0)</f>
        <v>0</v>
      </c>
      <c r="AD205" s="38">
        <f>IF(AQ205="7",BH205,0)</f>
        <v>0</v>
      </c>
      <c r="AE205" s="38">
        <f>IF(AQ205="7",BI205,0)</f>
        <v>0</v>
      </c>
      <c r="AF205" s="38">
        <f>IF(AQ205="2",BH205,0)</f>
        <v>0</v>
      </c>
      <c r="AG205" s="38">
        <f>IF(AQ205="2",BI205,0)</f>
        <v>0</v>
      </c>
      <c r="AH205" s="38">
        <f>IF(AQ205="0",BJ205,0)</f>
        <v>0</v>
      </c>
      <c r="AI205" s="37"/>
      <c r="AJ205" s="24">
        <f>IF(AN205=0,L205,0)</f>
        <v>0</v>
      </c>
      <c r="AK205" s="24">
        <f>IF(AN205=15,L205,0)</f>
        <v>0</v>
      </c>
      <c r="AL205" s="24">
        <f>IF(AN205=21,L205,0)</f>
        <v>0</v>
      </c>
      <c r="AN205" s="38">
        <v>21</v>
      </c>
      <c r="AO205" s="38">
        <f>I205*1</f>
        <v>0</v>
      </c>
      <c r="AP205" s="38">
        <f>I205*(1-1)</f>
        <v>0</v>
      </c>
      <c r="AQ205" s="40" t="s">
        <v>430</v>
      </c>
      <c r="AV205" s="38">
        <f>AW205+AX205</f>
        <v>0</v>
      </c>
      <c r="AW205" s="38">
        <f>H205*AO205</f>
        <v>0</v>
      </c>
      <c r="AX205" s="38">
        <f>H205*AP205</f>
        <v>0</v>
      </c>
      <c r="AY205" s="41" t="s">
        <v>454</v>
      </c>
      <c r="AZ205" s="41" t="s">
        <v>469</v>
      </c>
      <c r="BA205" s="37" t="s">
        <v>471</v>
      </c>
      <c r="BC205" s="38">
        <f>AW205+AX205</f>
        <v>0</v>
      </c>
      <c r="BD205" s="38">
        <f>I205/(100-BE205)*100</f>
        <v>0</v>
      </c>
      <c r="BE205" s="38">
        <v>0</v>
      </c>
      <c r="BF205" s="38">
        <f>205</f>
        <v>205</v>
      </c>
      <c r="BH205" s="24">
        <f>H205*AO205</f>
        <v>0</v>
      </c>
      <c r="BI205" s="24">
        <f>H205*AP205</f>
        <v>0</v>
      </c>
      <c r="BJ205" s="24">
        <f>H205*I205</f>
        <v>0</v>
      </c>
      <c r="BK205" s="24" t="s">
        <v>477</v>
      </c>
      <c r="BL205" s="38"/>
    </row>
    <row r="206" spans="1:14" ht="12.75">
      <c r="A206" s="6"/>
      <c r="B206" s="16" t="s">
        <v>87</v>
      </c>
      <c r="C206" s="163" t="s">
        <v>367</v>
      </c>
      <c r="D206" s="164"/>
      <c r="E206" s="164"/>
      <c r="F206" s="164"/>
      <c r="G206" s="164"/>
      <c r="H206" s="164"/>
      <c r="I206" s="164"/>
      <c r="J206" s="164"/>
      <c r="K206" s="164"/>
      <c r="L206" s="164"/>
      <c r="M206" s="165"/>
      <c r="N206" s="6"/>
    </row>
    <row r="207" spans="1:64" ht="12.75">
      <c r="A207" s="67" t="s">
        <v>77</v>
      </c>
      <c r="B207" s="67" t="s">
        <v>171</v>
      </c>
      <c r="C207" s="176" t="s">
        <v>368</v>
      </c>
      <c r="D207" s="175"/>
      <c r="E207" s="175"/>
      <c r="F207" s="177"/>
      <c r="G207" s="67" t="s">
        <v>397</v>
      </c>
      <c r="H207" s="68">
        <v>12.683</v>
      </c>
      <c r="I207" s="68">
        <v>0</v>
      </c>
      <c r="J207" s="68">
        <f>H207*AO207</f>
        <v>0</v>
      </c>
      <c r="K207" s="68">
        <f>H207*AP207</f>
        <v>0</v>
      </c>
      <c r="L207" s="68">
        <f>H207*I207</f>
        <v>0</v>
      </c>
      <c r="M207" s="69" t="s">
        <v>420</v>
      </c>
      <c r="N207" s="66"/>
      <c r="Z207" s="38">
        <f>IF(AQ207="5",BJ207,0)</f>
        <v>0</v>
      </c>
      <c r="AB207" s="38">
        <f>IF(AQ207="1",BH207,0)</f>
        <v>0</v>
      </c>
      <c r="AC207" s="38">
        <f>IF(AQ207="1",BI207,0)</f>
        <v>0</v>
      </c>
      <c r="AD207" s="38">
        <f>IF(AQ207="7",BH207,0)</f>
        <v>0</v>
      </c>
      <c r="AE207" s="38">
        <f>IF(AQ207="7",BI207,0)</f>
        <v>0</v>
      </c>
      <c r="AF207" s="38">
        <f>IF(AQ207="2",BH207,0)</f>
        <v>0</v>
      </c>
      <c r="AG207" s="38">
        <f>IF(AQ207="2",BI207,0)</f>
        <v>0</v>
      </c>
      <c r="AH207" s="38">
        <f>IF(AQ207="0",BJ207,0)</f>
        <v>0</v>
      </c>
      <c r="AI207" s="37"/>
      <c r="AJ207" s="24">
        <f>IF(AN207=0,L207,0)</f>
        <v>0</v>
      </c>
      <c r="AK207" s="24">
        <f>IF(AN207=15,L207,0)</f>
        <v>0</v>
      </c>
      <c r="AL207" s="24">
        <f>IF(AN207=21,L207,0)</f>
        <v>0</v>
      </c>
      <c r="AN207" s="38">
        <v>21</v>
      </c>
      <c r="AO207" s="38">
        <f>I207*1</f>
        <v>0</v>
      </c>
      <c r="AP207" s="38">
        <f>I207*(1-1)</f>
        <v>0</v>
      </c>
      <c r="AQ207" s="40" t="s">
        <v>430</v>
      </c>
      <c r="AV207" s="38">
        <f>AW207+AX207</f>
        <v>0</v>
      </c>
      <c r="AW207" s="38">
        <f>H207*AO207</f>
        <v>0</v>
      </c>
      <c r="AX207" s="38">
        <f>H207*AP207</f>
        <v>0</v>
      </c>
      <c r="AY207" s="41" t="s">
        <v>454</v>
      </c>
      <c r="AZ207" s="41" t="s">
        <v>469</v>
      </c>
      <c r="BA207" s="37" t="s">
        <v>471</v>
      </c>
      <c r="BC207" s="38">
        <f>AW207+AX207</f>
        <v>0</v>
      </c>
      <c r="BD207" s="38">
        <f>I207/(100-BE207)*100</f>
        <v>0</v>
      </c>
      <c r="BE207" s="38">
        <v>0</v>
      </c>
      <c r="BF207" s="38">
        <f>207</f>
        <v>207</v>
      </c>
      <c r="BH207" s="24">
        <f>H207*AO207</f>
        <v>0</v>
      </c>
      <c r="BI207" s="24">
        <f>H207*AP207</f>
        <v>0</v>
      </c>
      <c r="BJ207" s="24">
        <f>H207*I207</f>
        <v>0</v>
      </c>
      <c r="BK207" s="24" t="s">
        <v>477</v>
      </c>
      <c r="BL207" s="38"/>
    </row>
    <row r="208" spans="1:14" ht="38.25" customHeight="1">
      <c r="A208" s="6"/>
      <c r="B208" s="16" t="s">
        <v>87</v>
      </c>
      <c r="C208" s="163" t="s">
        <v>369</v>
      </c>
      <c r="D208" s="164"/>
      <c r="E208" s="164"/>
      <c r="F208" s="164"/>
      <c r="G208" s="164"/>
      <c r="H208" s="164"/>
      <c r="I208" s="164"/>
      <c r="J208" s="164"/>
      <c r="K208" s="164"/>
      <c r="L208" s="164"/>
      <c r="M208" s="165"/>
      <c r="N208" s="6"/>
    </row>
    <row r="209" spans="1:35" ht="12.75">
      <c r="A209" s="4"/>
      <c r="B209" s="14"/>
      <c r="C209" s="159" t="s">
        <v>370</v>
      </c>
      <c r="D209" s="160"/>
      <c r="E209" s="160"/>
      <c r="F209" s="160"/>
      <c r="G209" s="21" t="s">
        <v>6</v>
      </c>
      <c r="H209" s="21" t="s">
        <v>6</v>
      </c>
      <c r="I209" s="21" t="s">
        <v>6</v>
      </c>
      <c r="J209" s="44">
        <f>J210+J219+J222+J225</f>
        <v>0</v>
      </c>
      <c r="K209" s="44">
        <f>K210+K219+K222+K225</f>
        <v>0</v>
      </c>
      <c r="L209" s="44">
        <f>L210+L219+L222+L225</f>
        <v>0</v>
      </c>
      <c r="M209" s="33"/>
      <c r="N209" s="6"/>
      <c r="AI209" s="37"/>
    </row>
    <row r="210" spans="1:47" ht="12.75">
      <c r="A210" s="4"/>
      <c r="B210" s="14" t="s">
        <v>172</v>
      </c>
      <c r="C210" s="159" t="s">
        <v>371</v>
      </c>
      <c r="D210" s="160"/>
      <c r="E210" s="160"/>
      <c r="F210" s="160"/>
      <c r="G210" s="21" t="s">
        <v>6</v>
      </c>
      <c r="H210" s="21" t="s">
        <v>6</v>
      </c>
      <c r="I210" s="21" t="s">
        <v>6</v>
      </c>
      <c r="J210" s="44">
        <f>SUM(J211:J216)</f>
        <v>0</v>
      </c>
      <c r="K210" s="44">
        <f>SUM(K211:K216)</f>
        <v>0</v>
      </c>
      <c r="L210" s="44">
        <f>SUM(L211:L216)</f>
        <v>0</v>
      </c>
      <c r="M210" s="33"/>
      <c r="N210" s="6"/>
      <c r="AI210" s="37"/>
      <c r="AS210" s="44">
        <f>SUM(AJ211:AJ216)</f>
        <v>0</v>
      </c>
      <c r="AT210" s="44">
        <f>SUM(AK211:AK216)</f>
        <v>0</v>
      </c>
      <c r="AU210" s="44">
        <f>SUM(AL211:AL216)</f>
        <v>0</v>
      </c>
    </row>
    <row r="211" spans="1:64" ht="12.75">
      <c r="A211" s="5" t="s">
        <v>78</v>
      </c>
      <c r="B211" s="15" t="s">
        <v>173</v>
      </c>
      <c r="C211" s="161" t="s">
        <v>371</v>
      </c>
      <c r="D211" s="162"/>
      <c r="E211" s="162"/>
      <c r="F211" s="162"/>
      <c r="G211" s="15" t="s">
        <v>402</v>
      </c>
      <c r="H211" s="23">
        <v>1</v>
      </c>
      <c r="I211" s="23">
        <v>0</v>
      </c>
      <c r="J211" s="23">
        <f>H211*AO211</f>
        <v>0</v>
      </c>
      <c r="K211" s="23">
        <f>H211*AP211</f>
        <v>0</v>
      </c>
      <c r="L211" s="23">
        <f>H211*I211</f>
        <v>0</v>
      </c>
      <c r="M211" s="34"/>
      <c r="N211" s="6"/>
      <c r="Z211" s="38">
        <f>IF(AQ211="5",BJ211,0)</f>
        <v>0</v>
      </c>
      <c r="AB211" s="38">
        <f>IF(AQ211="1",BH211,0)</f>
        <v>0</v>
      </c>
      <c r="AC211" s="38">
        <f>IF(AQ211="1",BI211,0)</f>
        <v>0</v>
      </c>
      <c r="AD211" s="38">
        <f>IF(AQ211="7",BH211,0)</f>
        <v>0</v>
      </c>
      <c r="AE211" s="38">
        <f>IF(AQ211="7",BI211,0)</f>
        <v>0</v>
      </c>
      <c r="AF211" s="38">
        <f>IF(AQ211="2",BH211,0)</f>
        <v>0</v>
      </c>
      <c r="AG211" s="38">
        <f>IF(AQ211="2",BI211,0)</f>
        <v>0</v>
      </c>
      <c r="AH211" s="38">
        <f>IF(AQ211="0",BJ211,0)</f>
        <v>0</v>
      </c>
      <c r="AI211" s="37"/>
      <c r="AJ211" s="23">
        <f>IF(AN211=0,L211,0)</f>
        <v>0</v>
      </c>
      <c r="AK211" s="23">
        <f>IF(AN211=15,L211,0)</f>
        <v>0</v>
      </c>
      <c r="AL211" s="23">
        <f>IF(AN211=21,L211,0)</f>
        <v>0</v>
      </c>
      <c r="AN211" s="38">
        <v>21</v>
      </c>
      <c r="AO211" s="38">
        <f>I211*0</f>
        <v>0</v>
      </c>
      <c r="AP211" s="38">
        <f>I211*(1-0)</f>
        <v>0</v>
      </c>
      <c r="AQ211" s="39" t="s">
        <v>431</v>
      </c>
      <c r="AV211" s="38">
        <f>AW211+AX211</f>
        <v>0</v>
      </c>
      <c r="AW211" s="38">
        <f>H211*AO211</f>
        <v>0</v>
      </c>
      <c r="AX211" s="38">
        <f>H211*AP211</f>
        <v>0</v>
      </c>
      <c r="AY211" s="41" t="s">
        <v>455</v>
      </c>
      <c r="AZ211" s="41" t="s">
        <v>470</v>
      </c>
      <c r="BA211" s="37" t="s">
        <v>471</v>
      </c>
      <c r="BC211" s="38">
        <f>AW211+AX211</f>
        <v>0</v>
      </c>
      <c r="BD211" s="38">
        <f>I211/(100-BE211)*100</f>
        <v>0</v>
      </c>
      <c r="BE211" s="38">
        <v>0</v>
      </c>
      <c r="BF211" s="38">
        <f>211</f>
        <v>211</v>
      </c>
      <c r="BH211" s="23">
        <f>H211*AO211</f>
        <v>0</v>
      </c>
      <c r="BI211" s="23">
        <f>H211*AP211</f>
        <v>0</v>
      </c>
      <c r="BJ211" s="23">
        <f>H211*I211</f>
        <v>0</v>
      </c>
      <c r="BK211" s="23" t="s">
        <v>476</v>
      </c>
      <c r="BL211" s="38" t="s">
        <v>172</v>
      </c>
    </row>
    <row r="212" spans="1:14" ht="25.5" customHeight="1">
      <c r="A212" s="6"/>
      <c r="B212" s="17" t="s">
        <v>84</v>
      </c>
      <c r="C212" s="166" t="s">
        <v>372</v>
      </c>
      <c r="D212" s="167"/>
      <c r="E212" s="167"/>
      <c r="F212" s="167"/>
      <c r="G212" s="167"/>
      <c r="H212" s="167"/>
      <c r="I212" s="167"/>
      <c r="J212" s="167"/>
      <c r="K212" s="167"/>
      <c r="L212" s="167"/>
      <c r="M212" s="168"/>
      <c r="N212" s="6"/>
    </row>
    <row r="213" spans="1:64" ht="12.75">
      <c r="A213" s="5" t="s">
        <v>79</v>
      </c>
      <c r="B213" s="15" t="s">
        <v>174</v>
      </c>
      <c r="C213" s="161" t="s">
        <v>373</v>
      </c>
      <c r="D213" s="162"/>
      <c r="E213" s="162"/>
      <c r="F213" s="162"/>
      <c r="G213" s="15" t="s">
        <v>402</v>
      </c>
      <c r="H213" s="23">
        <v>1</v>
      </c>
      <c r="I213" s="23">
        <v>0</v>
      </c>
      <c r="J213" s="23">
        <f>H213*AO213</f>
        <v>0</v>
      </c>
      <c r="K213" s="23">
        <f>H213*AP213</f>
        <v>0</v>
      </c>
      <c r="L213" s="23">
        <f>H213*I213</f>
        <v>0</v>
      </c>
      <c r="M213" s="34"/>
      <c r="N213" s="6"/>
      <c r="Z213" s="38">
        <f>IF(AQ213="5",BJ213,0)</f>
        <v>0</v>
      </c>
      <c r="AB213" s="38">
        <f>IF(AQ213="1",BH213,0)</f>
        <v>0</v>
      </c>
      <c r="AC213" s="38">
        <f>IF(AQ213="1",BI213,0)</f>
        <v>0</v>
      </c>
      <c r="AD213" s="38">
        <f>IF(AQ213="7",BH213,0)</f>
        <v>0</v>
      </c>
      <c r="AE213" s="38">
        <f>IF(AQ213="7",BI213,0)</f>
        <v>0</v>
      </c>
      <c r="AF213" s="38">
        <f>IF(AQ213="2",BH213,0)</f>
        <v>0</v>
      </c>
      <c r="AG213" s="38">
        <f>IF(AQ213="2",BI213,0)</f>
        <v>0</v>
      </c>
      <c r="AH213" s="38">
        <f>IF(AQ213="0",BJ213,0)</f>
        <v>0</v>
      </c>
      <c r="AI213" s="37"/>
      <c r="AJ213" s="23">
        <f>IF(AN213=0,L213,0)</f>
        <v>0</v>
      </c>
      <c r="AK213" s="23">
        <f>IF(AN213=15,L213,0)</f>
        <v>0</v>
      </c>
      <c r="AL213" s="23">
        <f>IF(AN213=21,L213,0)</f>
        <v>0</v>
      </c>
      <c r="AN213" s="38">
        <v>21</v>
      </c>
      <c r="AO213" s="38">
        <f>I213*0</f>
        <v>0</v>
      </c>
      <c r="AP213" s="38">
        <f>I213*(1-0)</f>
        <v>0</v>
      </c>
      <c r="AQ213" s="39" t="s">
        <v>431</v>
      </c>
      <c r="AV213" s="38">
        <f>AW213+AX213</f>
        <v>0</v>
      </c>
      <c r="AW213" s="38">
        <f>H213*AO213</f>
        <v>0</v>
      </c>
      <c r="AX213" s="38">
        <f>H213*AP213</f>
        <v>0</v>
      </c>
      <c r="AY213" s="41" t="s">
        <v>455</v>
      </c>
      <c r="AZ213" s="41" t="s">
        <v>470</v>
      </c>
      <c r="BA213" s="37" t="s">
        <v>471</v>
      </c>
      <c r="BC213" s="38">
        <f>AW213+AX213</f>
        <v>0</v>
      </c>
      <c r="BD213" s="38">
        <f>I213/(100-BE213)*100</f>
        <v>0</v>
      </c>
      <c r="BE213" s="38">
        <v>0</v>
      </c>
      <c r="BF213" s="38">
        <f>213</f>
        <v>213</v>
      </c>
      <c r="BH213" s="23">
        <f>H213*AO213</f>
        <v>0</v>
      </c>
      <c r="BI213" s="23">
        <f>H213*AP213</f>
        <v>0</v>
      </c>
      <c r="BJ213" s="23">
        <f>H213*I213</f>
        <v>0</v>
      </c>
      <c r="BK213" s="23" t="s">
        <v>476</v>
      </c>
      <c r="BL213" s="38" t="s">
        <v>172</v>
      </c>
    </row>
    <row r="214" spans="1:14" ht="12.75">
      <c r="A214" s="6"/>
      <c r="B214" s="16" t="s">
        <v>90</v>
      </c>
      <c r="C214" s="169" t="s">
        <v>201</v>
      </c>
      <c r="D214" s="170"/>
      <c r="E214" s="170"/>
      <c r="F214" s="170"/>
      <c r="G214" s="170"/>
      <c r="H214" s="170"/>
      <c r="I214" s="170"/>
      <c r="J214" s="170"/>
      <c r="K214" s="170"/>
      <c r="L214" s="170"/>
      <c r="M214" s="171"/>
      <c r="N214" s="6"/>
    </row>
    <row r="215" spans="1:14" ht="25.5" customHeight="1">
      <c r="A215" s="6"/>
      <c r="B215" s="17" t="s">
        <v>84</v>
      </c>
      <c r="C215" s="166" t="s">
        <v>374</v>
      </c>
      <c r="D215" s="167"/>
      <c r="E215" s="167"/>
      <c r="F215" s="167"/>
      <c r="G215" s="167"/>
      <c r="H215" s="167"/>
      <c r="I215" s="167"/>
      <c r="J215" s="167"/>
      <c r="K215" s="167"/>
      <c r="L215" s="167"/>
      <c r="M215" s="168"/>
      <c r="N215" s="6"/>
    </row>
    <row r="216" spans="1:64" ht="12.75">
      <c r="A216" s="5" t="s">
        <v>80</v>
      </c>
      <c r="B216" s="15" t="s">
        <v>175</v>
      </c>
      <c r="C216" s="161" t="s">
        <v>375</v>
      </c>
      <c r="D216" s="162"/>
      <c r="E216" s="162"/>
      <c r="F216" s="162"/>
      <c r="G216" s="15" t="s">
        <v>402</v>
      </c>
      <c r="H216" s="23">
        <v>1</v>
      </c>
      <c r="I216" s="23">
        <v>0</v>
      </c>
      <c r="J216" s="23">
        <f>H216*AO216</f>
        <v>0</v>
      </c>
      <c r="K216" s="23">
        <f>H216*AP216</f>
        <v>0</v>
      </c>
      <c r="L216" s="23">
        <f>H216*I216</f>
        <v>0</v>
      </c>
      <c r="M216" s="34"/>
      <c r="N216" s="6"/>
      <c r="Z216" s="38">
        <f>IF(AQ216="5",BJ216,0)</f>
        <v>0</v>
      </c>
      <c r="AB216" s="38">
        <f>IF(AQ216="1",BH216,0)</f>
        <v>0</v>
      </c>
      <c r="AC216" s="38">
        <f>IF(AQ216="1",BI216,0)</f>
        <v>0</v>
      </c>
      <c r="AD216" s="38">
        <f>IF(AQ216="7",BH216,0)</f>
        <v>0</v>
      </c>
      <c r="AE216" s="38">
        <f>IF(AQ216="7",BI216,0)</f>
        <v>0</v>
      </c>
      <c r="AF216" s="38">
        <f>IF(AQ216="2",BH216,0)</f>
        <v>0</v>
      </c>
      <c r="AG216" s="38">
        <f>IF(AQ216="2",BI216,0)</f>
        <v>0</v>
      </c>
      <c r="AH216" s="38">
        <f>IF(AQ216="0",BJ216,0)</f>
        <v>0</v>
      </c>
      <c r="AI216" s="37"/>
      <c r="AJ216" s="23">
        <f>IF(AN216=0,L216,0)</f>
        <v>0</v>
      </c>
      <c r="AK216" s="23">
        <f>IF(AN216=15,L216,0)</f>
        <v>0</v>
      </c>
      <c r="AL216" s="23">
        <f>IF(AN216=21,L216,0)</f>
        <v>0</v>
      </c>
      <c r="AN216" s="38">
        <v>21</v>
      </c>
      <c r="AO216" s="38">
        <f>I216*0</f>
        <v>0</v>
      </c>
      <c r="AP216" s="38">
        <f>I216*(1-0)</f>
        <v>0</v>
      </c>
      <c r="AQ216" s="39" t="s">
        <v>431</v>
      </c>
      <c r="AV216" s="38">
        <f>AW216+AX216</f>
        <v>0</v>
      </c>
      <c r="AW216" s="38">
        <f>H216*AO216</f>
        <v>0</v>
      </c>
      <c r="AX216" s="38">
        <f>H216*AP216</f>
        <v>0</v>
      </c>
      <c r="AY216" s="41" t="s">
        <v>455</v>
      </c>
      <c r="AZ216" s="41" t="s">
        <v>470</v>
      </c>
      <c r="BA216" s="37" t="s">
        <v>471</v>
      </c>
      <c r="BC216" s="38">
        <f>AW216+AX216</f>
        <v>0</v>
      </c>
      <c r="BD216" s="38">
        <f>I216/(100-BE216)*100</f>
        <v>0</v>
      </c>
      <c r="BE216" s="38">
        <v>0</v>
      </c>
      <c r="BF216" s="38">
        <f>216</f>
        <v>216</v>
      </c>
      <c r="BH216" s="23">
        <f>H216*AO216</f>
        <v>0</v>
      </c>
      <c r="BI216" s="23">
        <f>H216*AP216</f>
        <v>0</v>
      </c>
      <c r="BJ216" s="23">
        <f>H216*I216</f>
        <v>0</v>
      </c>
      <c r="BK216" s="23" t="s">
        <v>476</v>
      </c>
      <c r="BL216" s="38" t="s">
        <v>172</v>
      </c>
    </row>
    <row r="217" spans="1:14" ht="12.75">
      <c r="A217" s="6"/>
      <c r="B217" s="16" t="s">
        <v>90</v>
      </c>
      <c r="C217" s="169" t="s">
        <v>201</v>
      </c>
      <c r="D217" s="170"/>
      <c r="E217" s="170"/>
      <c r="F217" s="170"/>
      <c r="G217" s="170"/>
      <c r="H217" s="170"/>
      <c r="I217" s="170"/>
      <c r="J217" s="170"/>
      <c r="K217" s="170"/>
      <c r="L217" s="170"/>
      <c r="M217" s="171"/>
      <c r="N217" s="6"/>
    </row>
    <row r="218" spans="1:14" ht="25.5" customHeight="1">
      <c r="A218" s="6"/>
      <c r="B218" s="17" t="s">
        <v>84</v>
      </c>
      <c r="C218" s="166" t="s">
        <v>376</v>
      </c>
      <c r="D218" s="167"/>
      <c r="E218" s="167"/>
      <c r="F218" s="167"/>
      <c r="G218" s="167"/>
      <c r="H218" s="167"/>
      <c r="I218" s="167"/>
      <c r="J218" s="167"/>
      <c r="K218" s="167"/>
      <c r="L218" s="167"/>
      <c r="M218" s="168"/>
      <c r="N218" s="6"/>
    </row>
    <row r="219" spans="1:47" ht="12.75">
      <c r="A219" s="4"/>
      <c r="B219" s="14" t="s">
        <v>176</v>
      </c>
      <c r="C219" s="159" t="s">
        <v>377</v>
      </c>
      <c r="D219" s="160"/>
      <c r="E219" s="160"/>
      <c r="F219" s="160"/>
      <c r="G219" s="21" t="s">
        <v>6</v>
      </c>
      <c r="H219" s="21" t="s">
        <v>6</v>
      </c>
      <c r="I219" s="21" t="s">
        <v>6</v>
      </c>
      <c r="J219" s="44">
        <f>SUM(J220:J220)</f>
        <v>0</v>
      </c>
      <c r="K219" s="44">
        <f>SUM(K220:K220)</f>
        <v>0</v>
      </c>
      <c r="L219" s="44">
        <f>SUM(L220:L220)</f>
        <v>0</v>
      </c>
      <c r="M219" s="33"/>
      <c r="N219" s="6"/>
      <c r="AI219" s="37"/>
      <c r="AS219" s="44">
        <f>SUM(AJ220:AJ220)</f>
        <v>0</v>
      </c>
      <c r="AT219" s="44">
        <f>SUM(AK220:AK220)</f>
        <v>0</v>
      </c>
      <c r="AU219" s="44">
        <f>SUM(AL220:AL220)</f>
        <v>0</v>
      </c>
    </row>
    <row r="220" spans="1:64" ht="12.75">
      <c r="A220" s="5" t="s">
        <v>81</v>
      </c>
      <c r="B220" s="15" t="s">
        <v>177</v>
      </c>
      <c r="C220" s="161" t="s">
        <v>378</v>
      </c>
      <c r="D220" s="162"/>
      <c r="E220" s="162"/>
      <c r="F220" s="162"/>
      <c r="G220" s="15" t="s">
        <v>402</v>
      </c>
      <c r="H220" s="23">
        <v>1</v>
      </c>
      <c r="I220" s="23">
        <v>0</v>
      </c>
      <c r="J220" s="23">
        <f>H220*AO220</f>
        <v>0</v>
      </c>
      <c r="K220" s="23">
        <f>H220*AP220</f>
        <v>0</v>
      </c>
      <c r="L220" s="23">
        <f>H220*I220</f>
        <v>0</v>
      </c>
      <c r="M220" s="34"/>
      <c r="N220" s="6"/>
      <c r="Z220" s="38">
        <f>IF(AQ220="5",BJ220,0)</f>
        <v>0</v>
      </c>
      <c r="AB220" s="38">
        <f>IF(AQ220="1",BH220,0)</f>
        <v>0</v>
      </c>
      <c r="AC220" s="38">
        <f>IF(AQ220="1",BI220,0)</f>
        <v>0</v>
      </c>
      <c r="AD220" s="38">
        <f>IF(AQ220="7",BH220,0)</f>
        <v>0</v>
      </c>
      <c r="AE220" s="38">
        <f>IF(AQ220="7",BI220,0)</f>
        <v>0</v>
      </c>
      <c r="AF220" s="38">
        <f>IF(AQ220="2",BH220,0)</f>
        <v>0</v>
      </c>
      <c r="AG220" s="38">
        <f>IF(AQ220="2",BI220,0)</f>
        <v>0</v>
      </c>
      <c r="AH220" s="38">
        <f>IF(AQ220="0",BJ220,0)</f>
        <v>0</v>
      </c>
      <c r="AI220" s="37"/>
      <c r="AJ220" s="23">
        <f>IF(AN220=0,L220,0)</f>
        <v>0</v>
      </c>
      <c r="AK220" s="23">
        <f>IF(AN220=15,L220,0)</f>
        <v>0</v>
      </c>
      <c r="AL220" s="23">
        <f>IF(AN220=21,L220,0)</f>
        <v>0</v>
      </c>
      <c r="AN220" s="38">
        <v>21</v>
      </c>
      <c r="AO220" s="38">
        <f>I220*0</f>
        <v>0</v>
      </c>
      <c r="AP220" s="38">
        <f>I220*(1-0)</f>
        <v>0</v>
      </c>
      <c r="AQ220" s="39" t="s">
        <v>431</v>
      </c>
      <c r="AV220" s="38">
        <f>AW220+AX220</f>
        <v>0</v>
      </c>
      <c r="AW220" s="38">
        <f>H220*AO220</f>
        <v>0</v>
      </c>
      <c r="AX220" s="38">
        <f>H220*AP220</f>
        <v>0</v>
      </c>
      <c r="AY220" s="41" t="s">
        <v>456</v>
      </c>
      <c r="AZ220" s="41" t="s">
        <v>470</v>
      </c>
      <c r="BA220" s="37" t="s">
        <v>471</v>
      </c>
      <c r="BC220" s="38">
        <f>AW220+AX220</f>
        <v>0</v>
      </c>
      <c r="BD220" s="38">
        <f>I220/(100-BE220)*100</f>
        <v>0</v>
      </c>
      <c r="BE220" s="38">
        <v>0</v>
      </c>
      <c r="BF220" s="38">
        <f>220</f>
        <v>220</v>
      </c>
      <c r="BH220" s="23">
        <f>H220*AO220</f>
        <v>0</v>
      </c>
      <c r="BI220" s="23">
        <f>H220*AP220</f>
        <v>0</v>
      </c>
      <c r="BJ220" s="23">
        <f>H220*I220</f>
        <v>0</v>
      </c>
      <c r="BK220" s="23" t="s">
        <v>476</v>
      </c>
      <c r="BL220" s="38" t="s">
        <v>176</v>
      </c>
    </row>
    <row r="221" spans="1:14" ht="25.5" customHeight="1">
      <c r="A221" s="6"/>
      <c r="B221" s="17" t="s">
        <v>84</v>
      </c>
      <c r="C221" s="166" t="s">
        <v>379</v>
      </c>
      <c r="D221" s="167"/>
      <c r="E221" s="167"/>
      <c r="F221" s="167"/>
      <c r="G221" s="167"/>
      <c r="H221" s="167"/>
      <c r="I221" s="167"/>
      <c r="J221" s="167"/>
      <c r="K221" s="167"/>
      <c r="L221" s="167"/>
      <c r="M221" s="168"/>
      <c r="N221" s="6"/>
    </row>
    <row r="222" spans="1:47" ht="12.75">
      <c r="A222" s="4"/>
      <c r="B222" s="14" t="s">
        <v>178</v>
      </c>
      <c r="C222" s="159" t="s">
        <v>380</v>
      </c>
      <c r="D222" s="160"/>
      <c r="E222" s="160"/>
      <c r="F222" s="160"/>
      <c r="G222" s="21" t="s">
        <v>6</v>
      </c>
      <c r="H222" s="21" t="s">
        <v>6</v>
      </c>
      <c r="I222" s="21" t="s">
        <v>6</v>
      </c>
      <c r="J222" s="44">
        <f>SUM(J223:J223)</f>
        <v>0</v>
      </c>
      <c r="K222" s="44">
        <f>SUM(K223:K223)</f>
        <v>0</v>
      </c>
      <c r="L222" s="44">
        <f>SUM(L223:L223)</f>
        <v>0</v>
      </c>
      <c r="M222" s="33"/>
      <c r="N222" s="6"/>
      <c r="AI222" s="37"/>
      <c r="AS222" s="44">
        <f>SUM(AJ223:AJ223)</f>
        <v>0</v>
      </c>
      <c r="AT222" s="44">
        <f>SUM(AK223:AK223)</f>
        <v>0</v>
      </c>
      <c r="AU222" s="44">
        <f>SUM(AL223:AL223)</f>
        <v>0</v>
      </c>
    </row>
    <row r="223" spans="1:64" ht="12.75">
      <c r="A223" s="5" t="s">
        <v>82</v>
      </c>
      <c r="B223" s="15" t="s">
        <v>179</v>
      </c>
      <c r="C223" s="161" t="s">
        <v>381</v>
      </c>
      <c r="D223" s="162"/>
      <c r="E223" s="162"/>
      <c r="F223" s="162"/>
      <c r="G223" s="15" t="s">
        <v>402</v>
      </c>
      <c r="H223" s="23">
        <v>1</v>
      </c>
      <c r="I223" s="23">
        <v>0</v>
      </c>
      <c r="J223" s="23">
        <f>H223*AO223</f>
        <v>0</v>
      </c>
      <c r="K223" s="23">
        <f>H223*AP223</f>
        <v>0</v>
      </c>
      <c r="L223" s="23">
        <f>H223*I223</f>
        <v>0</v>
      </c>
      <c r="M223" s="34"/>
      <c r="N223" s="6"/>
      <c r="Z223" s="38">
        <f>IF(AQ223="5",BJ223,0)</f>
        <v>0</v>
      </c>
      <c r="AB223" s="38">
        <f>IF(AQ223="1",BH223,0)</f>
        <v>0</v>
      </c>
      <c r="AC223" s="38">
        <f>IF(AQ223="1",BI223,0)</f>
        <v>0</v>
      </c>
      <c r="AD223" s="38">
        <f>IF(AQ223="7",BH223,0)</f>
        <v>0</v>
      </c>
      <c r="AE223" s="38">
        <f>IF(AQ223="7",BI223,0)</f>
        <v>0</v>
      </c>
      <c r="AF223" s="38">
        <f>IF(AQ223="2",BH223,0)</f>
        <v>0</v>
      </c>
      <c r="AG223" s="38">
        <f>IF(AQ223="2",BI223,0)</f>
        <v>0</v>
      </c>
      <c r="AH223" s="38">
        <f>IF(AQ223="0",BJ223,0)</f>
        <v>0</v>
      </c>
      <c r="AI223" s="37"/>
      <c r="AJ223" s="23">
        <f>IF(AN223=0,L223,0)</f>
        <v>0</v>
      </c>
      <c r="AK223" s="23">
        <f>IF(AN223=15,L223,0)</f>
        <v>0</v>
      </c>
      <c r="AL223" s="23">
        <f>IF(AN223=21,L223,0)</f>
        <v>0</v>
      </c>
      <c r="AN223" s="38">
        <v>21</v>
      </c>
      <c r="AO223" s="38">
        <f>I223*0</f>
        <v>0</v>
      </c>
      <c r="AP223" s="38">
        <f>I223*(1-0)</f>
        <v>0</v>
      </c>
      <c r="AQ223" s="39" t="s">
        <v>431</v>
      </c>
      <c r="AV223" s="38">
        <f>AW223+AX223</f>
        <v>0</v>
      </c>
      <c r="AW223" s="38">
        <f>H223*AO223</f>
        <v>0</v>
      </c>
      <c r="AX223" s="38">
        <f>H223*AP223</f>
        <v>0</v>
      </c>
      <c r="AY223" s="41" t="s">
        <v>457</v>
      </c>
      <c r="AZ223" s="41" t="s">
        <v>470</v>
      </c>
      <c r="BA223" s="37" t="s">
        <v>471</v>
      </c>
      <c r="BC223" s="38">
        <f>AW223+AX223</f>
        <v>0</v>
      </c>
      <c r="BD223" s="38">
        <f>I223/(100-BE223)*100</f>
        <v>0</v>
      </c>
      <c r="BE223" s="38">
        <v>0</v>
      </c>
      <c r="BF223" s="38">
        <f>223</f>
        <v>223</v>
      </c>
      <c r="BH223" s="23">
        <f>H223*AO223</f>
        <v>0</v>
      </c>
      <c r="BI223" s="23">
        <f>H223*AP223</f>
        <v>0</v>
      </c>
      <c r="BJ223" s="23">
        <f>H223*I223</f>
        <v>0</v>
      </c>
      <c r="BK223" s="23" t="s">
        <v>476</v>
      </c>
      <c r="BL223" s="38" t="s">
        <v>178</v>
      </c>
    </row>
    <row r="224" spans="1:14" ht="12.75">
      <c r="A224" s="6"/>
      <c r="B224" s="17" t="s">
        <v>84</v>
      </c>
      <c r="C224" s="166" t="s">
        <v>382</v>
      </c>
      <c r="D224" s="167"/>
      <c r="E224" s="167"/>
      <c r="F224" s="167"/>
      <c r="G224" s="167"/>
      <c r="H224" s="167"/>
      <c r="I224" s="167"/>
      <c r="J224" s="167"/>
      <c r="K224" s="167"/>
      <c r="L224" s="167"/>
      <c r="M224" s="168"/>
      <c r="N224" s="6"/>
    </row>
    <row r="225" spans="1:47" ht="12.75">
      <c r="A225" s="4"/>
      <c r="B225" s="14" t="s">
        <v>180</v>
      </c>
      <c r="C225" s="159" t="s">
        <v>383</v>
      </c>
      <c r="D225" s="160"/>
      <c r="E225" s="160"/>
      <c r="F225" s="160"/>
      <c r="G225" s="21" t="s">
        <v>6</v>
      </c>
      <c r="H225" s="21" t="s">
        <v>6</v>
      </c>
      <c r="I225" s="21" t="s">
        <v>6</v>
      </c>
      <c r="J225" s="44">
        <f>SUM(J226:J226)</f>
        <v>0</v>
      </c>
      <c r="K225" s="44">
        <f>SUM(K226:K226)</f>
        <v>0</v>
      </c>
      <c r="L225" s="44">
        <f>SUM(L226:L226)</f>
        <v>0</v>
      </c>
      <c r="M225" s="33"/>
      <c r="N225" s="6"/>
      <c r="AI225" s="37"/>
      <c r="AS225" s="44">
        <f>SUM(AJ226:AJ226)</f>
        <v>0</v>
      </c>
      <c r="AT225" s="44">
        <f>SUM(AK226:AK226)</f>
        <v>0</v>
      </c>
      <c r="AU225" s="44">
        <f>SUM(AL226:AL226)</f>
        <v>0</v>
      </c>
    </row>
    <row r="226" spans="1:64" ht="12.75">
      <c r="A226" s="5" t="s">
        <v>83</v>
      </c>
      <c r="B226" s="15" t="s">
        <v>181</v>
      </c>
      <c r="C226" s="161" t="s">
        <v>383</v>
      </c>
      <c r="D226" s="162"/>
      <c r="E226" s="162"/>
      <c r="F226" s="162"/>
      <c r="G226" s="15" t="s">
        <v>402</v>
      </c>
      <c r="H226" s="23">
        <v>1</v>
      </c>
      <c r="I226" s="23">
        <v>0</v>
      </c>
      <c r="J226" s="23">
        <f>H226*AO226</f>
        <v>0</v>
      </c>
      <c r="K226" s="23">
        <f>H226*AP226</f>
        <v>0</v>
      </c>
      <c r="L226" s="23">
        <f>H226*I226</f>
        <v>0</v>
      </c>
      <c r="M226" s="34"/>
      <c r="N226" s="6"/>
      <c r="Z226" s="38">
        <f>IF(AQ226="5",BJ226,0)</f>
        <v>0</v>
      </c>
      <c r="AB226" s="38">
        <f>IF(AQ226="1",BH226,0)</f>
        <v>0</v>
      </c>
      <c r="AC226" s="38">
        <f>IF(AQ226="1",BI226,0)</f>
        <v>0</v>
      </c>
      <c r="AD226" s="38">
        <f>IF(AQ226="7",BH226,0)</f>
        <v>0</v>
      </c>
      <c r="AE226" s="38">
        <f>IF(AQ226="7",BI226,0)</f>
        <v>0</v>
      </c>
      <c r="AF226" s="38">
        <f>IF(AQ226="2",BH226,0)</f>
        <v>0</v>
      </c>
      <c r="AG226" s="38">
        <f>IF(AQ226="2",BI226,0)</f>
        <v>0</v>
      </c>
      <c r="AH226" s="38">
        <f>IF(AQ226="0",BJ226,0)</f>
        <v>0</v>
      </c>
      <c r="AI226" s="37"/>
      <c r="AJ226" s="23">
        <f>IF(AN226=0,L226,0)</f>
        <v>0</v>
      </c>
      <c r="AK226" s="23">
        <f>IF(AN226=15,L226,0)</f>
        <v>0</v>
      </c>
      <c r="AL226" s="23">
        <f>IF(AN226=21,L226,0)</f>
        <v>0</v>
      </c>
      <c r="AN226" s="38">
        <v>21</v>
      </c>
      <c r="AO226" s="38">
        <f>I226*0</f>
        <v>0</v>
      </c>
      <c r="AP226" s="38">
        <f>I226*(1-0)</f>
        <v>0</v>
      </c>
      <c r="AQ226" s="39" t="s">
        <v>431</v>
      </c>
      <c r="AV226" s="38">
        <f>AW226+AX226</f>
        <v>0</v>
      </c>
      <c r="AW226" s="38">
        <f>H226*AO226</f>
        <v>0</v>
      </c>
      <c r="AX226" s="38">
        <f>H226*AP226</f>
        <v>0</v>
      </c>
      <c r="AY226" s="41" t="s">
        <v>458</v>
      </c>
      <c r="AZ226" s="41" t="s">
        <v>470</v>
      </c>
      <c r="BA226" s="37" t="s">
        <v>471</v>
      </c>
      <c r="BC226" s="38">
        <f>AW226+AX226</f>
        <v>0</v>
      </c>
      <c r="BD226" s="38">
        <f>I226/(100-BE226)*100</f>
        <v>0</v>
      </c>
      <c r="BE226" s="38">
        <v>0</v>
      </c>
      <c r="BF226" s="38">
        <f>226</f>
        <v>226</v>
      </c>
      <c r="BH226" s="23">
        <f>H226*AO226</f>
        <v>0</v>
      </c>
      <c r="BI226" s="23">
        <f>H226*AP226</f>
        <v>0</v>
      </c>
      <c r="BJ226" s="23">
        <f>H226*I226</f>
        <v>0</v>
      </c>
      <c r="BK226" s="23" t="s">
        <v>476</v>
      </c>
      <c r="BL226" s="38" t="s">
        <v>180</v>
      </c>
    </row>
    <row r="227" spans="1:14" ht="38.25" customHeight="1">
      <c r="A227" s="6"/>
      <c r="B227" s="16" t="s">
        <v>90</v>
      </c>
      <c r="C227" s="169" t="s">
        <v>384</v>
      </c>
      <c r="D227" s="170"/>
      <c r="E227" s="170"/>
      <c r="F227" s="170"/>
      <c r="G227" s="170"/>
      <c r="H227" s="170"/>
      <c r="I227" s="170"/>
      <c r="J227" s="170"/>
      <c r="K227" s="170"/>
      <c r="L227" s="170"/>
      <c r="M227" s="171"/>
      <c r="N227" s="6"/>
    </row>
    <row r="228" spans="1:14" ht="38.25" customHeight="1">
      <c r="A228" s="8"/>
      <c r="B228" s="19" t="s">
        <v>84</v>
      </c>
      <c r="C228" s="178" t="s">
        <v>385</v>
      </c>
      <c r="D228" s="179"/>
      <c r="E228" s="179"/>
      <c r="F228" s="179"/>
      <c r="G228" s="179"/>
      <c r="H228" s="179"/>
      <c r="I228" s="179"/>
      <c r="J228" s="179"/>
      <c r="K228" s="179"/>
      <c r="L228" s="179"/>
      <c r="M228" s="180"/>
      <c r="N228" s="6"/>
    </row>
    <row r="229" spans="1:13" ht="12.75">
      <c r="A229" s="9"/>
      <c r="B229" s="9"/>
      <c r="C229" s="9"/>
      <c r="D229" s="9"/>
      <c r="E229" s="9"/>
      <c r="F229" s="9"/>
      <c r="G229" s="9"/>
      <c r="H229" s="9"/>
      <c r="I229" s="9"/>
      <c r="J229" s="181" t="s">
        <v>415</v>
      </c>
      <c r="K229" s="109"/>
      <c r="L229" s="45">
        <f>L13+L17+L24+L28+L40+L50+L82+L85+L90+L92+L99+L120+L124+L128+L135+L140+L143+L160+L168+L174+L176+L179+L188+L210+L219+L222+L225</f>
        <v>0</v>
      </c>
      <c r="M229" s="9"/>
    </row>
    <row r="230" ht="11.25" customHeight="1">
      <c r="A230" s="10" t="s">
        <v>84</v>
      </c>
    </row>
    <row r="231" spans="1:13" ht="12.75">
      <c r="A231" s="115"/>
      <c r="B231" s="107"/>
      <c r="C231" s="107"/>
      <c r="D231" s="107"/>
      <c r="E231" s="107"/>
      <c r="F231" s="107"/>
      <c r="G231" s="107"/>
      <c r="H231" s="107"/>
      <c r="I231" s="107"/>
      <c r="J231" s="107"/>
      <c r="K231" s="107"/>
      <c r="L231" s="107"/>
      <c r="M231" s="107"/>
    </row>
  </sheetData>
  <sheetProtection/>
  <mergeCells count="247">
    <mergeCell ref="C225:F225"/>
    <mergeCell ref="C226:F226"/>
    <mergeCell ref="C227:M227"/>
    <mergeCell ref="C228:M228"/>
    <mergeCell ref="J229:K229"/>
    <mergeCell ref="A231:M231"/>
    <mergeCell ref="C219:F219"/>
    <mergeCell ref="C220:F220"/>
    <mergeCell ref="C221:M221"/>
    <mergeCell ref="C222:F222"/>
    <mergeCell ref="C223:F223"/>
    <mergeCell ref="C224:M224"/>
    <mergeCell ref="C213:F213"/>
    <mergeCell ref="C214:M214"/>
    <mergeCell ref="C215:M215"/>
    <mergeCell ref="C216:F216"/>
    <mergeCell ref="C217:M217"/>
    <mergeCell ref="C218:M218"/>
    <mergeCell ref="C207:F207"/>
    <mergeCell ref="C208:M208"/>
    <mergeCell ref="C209:F209"/>
    <mergeCell ref="C210:F210"/>
    <mergeCell ref="C211:F211"/>
    <mergeCell ref="C212:M212"/>
    <mergeCell ref="C201:M201"/>
    <mergeCell ref="C202:F202"/>
    <mergeCell ref="C203:M203"/>
    <mergeCell ref="C204:M204"/>
    <mergeCell ref="C205:F205"/>
    <mergeCell ref="C206:M206"/>
    <mergeCell ref="C195:M195"/>
    <mergeCell ref="C196:F196"/>
    <mergeCell ref="C197:M197"/>
    <mergeCell ref="C198:M198"/>
    <mergeCell ref="C199:F199"/>
    <mergeCell ref="C200:M200"/>
    <mergeCell ref="C189:F189"/>
    <mergeCell ref="C190:M190"/>
    <mergeCell ref="C191:F191"/>
    <mergeCell ref="C192:M192"/>
    <mergeCell ref="C193:F193"/>
    <mergeCell ref="C194:M194"/>
    <mergeCell ref="C183:F183"/>
    <mergeCell ref="C184:F184"/>
    <mergeCell ref="C185:M185"/>
    <mergeCell ref="C186:F186"/>
    <mergeCell ref="C187:M187"/>
    <mergeCell ref="C188:F188"/>
    <mergeCell ref="C177:F177"/>
    <mergeCell ref="C178:M178"/>
    <mergeCell ref="C179:F179"/>
    <mergeCell ref="C180:F180"/>
    <mergeCell ref="C181:M181"/>
    <mergeCell ref="C182:F182"/>
    <mergeCell ref="C171:F171"/>
    <mergeCell ref="C172:M172"/>
    <mergeCell ref="C173:M173"/>
    <mergeCell ref="C174:F174"/>
    <mergeCell ref="C175:F175"/>
    <mergeCell ref="C176:F176"/>
    <mergeCell ref="C165:M165"/>
    <mergeCell ref="C166:F166"/>
    <mergeCell ref="C167:M167"/>
    <mergeCell ref="C168:F168"/>
    <mergeCell ref="C169:F169"/>
    <mergeCell ref="C170:M170"/>
    <mergeCell ref="C159:F159"/>
    <mergeCell ref="C160:F160"/>
    <mergeCell ref="C161:F161"/>
    <mergeCell ref="C162:F162"/>
    <mergeCell ref="C163:M163"/>
    <mergeCell ref="C164:F164"/>
    <mergeCell ref="C153:F153"/>
    <mergeCell ref="C154:F154"/>
    <mergeCell ref="C155:M155"/>
    <mergeCell ref="C156:M156"/>
    <mergeCell ref="C157:M157"/>
    <mergeCell ref="C158:F158"/>
    <mergeCell ref="C147:F147"/>
    <mergeCell ref="C148:M148"/>
    <mergeCell ref="C149:M149"/>
    <mergeCell ref="C150:F150"/>
    <mergeCell ref="C151:M151"/>
    <mergeCell ref="C152:M152"/>
    <mergeCell ref="C141:F141"/>
    <mergeCell ref="C142:M142"/>
    <mergeCell ref="C143:F143"/>
    <mergeCell ref="C144:F144"/>
    <mergeCell ref="C145:M145"/>
    <mergeCell ref="C146:M146"/>
    <mergeCell ref="C135:F135"/>
    <mergeCell ref="C136:F136"/>
    <mergeCell ref="C137:M137"/>
    <mergeCell ref="C138:M138"/>
    <mergeCell ref="C139:M139"/>
    <mergeCell ref="C140:F140"/>
    <mergeCell ref="C129:F129"/>
    <mergeCell ref="C130:M130"/>
    <mergeCell ref="C131:M131"/>
    <mergeCell ref="C132:F132"/>
    <mergeCell ref="C133:M133"/>
    <mergeCell ref="C134:M134"/>
    <mergeCell ref="C123:M123"/>
    <mergeCell ref="C124:F124"/>
    <mergeCell ref="C125:F125"/>
    <mergeCell ref="C126:M126"/>
    <mergeCell ref="C127:M127"/>
    <mergeCell ref="C128:F128"/>
    <mergeCell ref="C117:F117"/>
    <mergeCell ref="C118:M118"/>
    <mergeCell ref="C119:M119"/>
    <mergeCell ref="C120:F120"/>
    <mergeCell ref="C121:F121"/>
    <mergeCell ref="C122:M122"/>
    <mergeCell ref="C111:F111"/>
    <mergeCell ref="C112:M112"/>
    <mergeCell ref="C113:F113"/>
    <mergeCell ref="C114:M114"/>
    <mergeCell ref="C115:F115"/>
    <mergeCell ref="C116:M116"/>
    <mergeCell ref="C105:F105"/>
    <mergeCell ref="C106:M106"/>
    <mergeCell ref="C107:M107"/>
    <mergeCell ref="C108:F108"/>
    <mergeCell ref="C109:M109"/>
    <mergeCell ref="C110:M110"/>
    <mergeCell ref="C99:F99"/>
    <mergeCell ref="C100:F100"/>
    <mergeCell ref="C101:M101"/>
    <mergeCell ref="C102:M102"/>
    <mergeCell ref="C103:F103"/>
    <mergeCell ref="C104:M104"/>
    <mergeCell ref="C93:F93"/>
    <mergeCell ref="C94:M94"/>
    <mergeCell ref="C95:M95"/>
    <mergeCell ref="C96:F96"/>
    <mergeCell ref="C97:M97"/>
    <mergeCell ref="C98:M98"/>
    <mergeCell ref="C87:M87"/>
    <mergeCell ref="C88:F88"/>
    <mergeCell ref="C89:M89"/>
    <mergeCell ref="C90:F90"/>
    <mergeCell ref="C91:F91"/>
    <mergeCell ref="C92:F92"/>
    <mergeCell ref="C81:M81"/>
    <mergeCell ref="C82:F82"/>
    <mergeCell ref="C83:F83"/>
    <mergeCell ref="C84:M84"/>
    <mergeCell ref="C85:F85"/>
    <mergeCell ref="C86:F86"/>
    <mergeCell ref="C75:M75"/>
    <mergeCell ref="C76:M76"/>
    <mergeCell ref="C77:F77"/>
    <mergeCell ref="C78:M78"/>
    <mergeCell ref="C79:F79"/>
    <mergeCell ref="C80:M80"/>
    <mergeCell ref="C69:M69"/>
    <mergeCell ref="C70:M70"/>
    <mergeCell ref="C71:F71"/>
    <mergeCell ref="C72:M72"/>
    <mergeCell ref="C73:M73"/>
    <mergeCell ref="C74:F74"/>
    <mergeCell ref="C63:F63"/>
    <mergeCell ref="C64:M64"/>
    <mergeCell ref="C65:F65"/>
    <mergeCell ref="C66:M66"/>
    <mergeCell ref="C67:M67"/>
    <mergeCell ref="C68:F68"/>
    <mergeCell ref="C57:F57"/>
    <mergeCell ref="C58:M58"/>
    <mergeCell ref="C59:M59"/>
    <mergeCell ref="C60:F60"/>
    <mergeCell ref="C61:M61"/>
    <mergeCell ref="C62:M62"/>
    <mergeCell ref="C51:F51"/>
    <mergeCell ref="C52:F52"/>
    <mergeCell ref="C53:M53"/>
    <mergeCell ref="C54:M54"/>
    <mergeCell ref="C55:F55"/>
    <mergeCell ref="C56:M56"/>
    <mergeCell ref="C45:F45"/>
    <mergeCell ref="C46:M46"/>
    <mergeCell ref="C47:M47"/>
    <mergeCell ref="C48:F48"/>
    <mergeCell ref="C49:M49"/>
    <mergeCell ref="C50:F50"/>
    <mergeCell ref="C39:M39"/>
    <mergeCell ref="C40:F40"/>
    <mergeCell ref="C41:F41"/>
    <mergeCell ref="C42:M42"/>
    <mergeCell ref="C43:F43"/>
    <mergeCell ref="C44:M44"/>
    <mergeCell ref="C33:F33"/>
    <mergeCell ref="C34:M34"/>
    <mergeCell ref="C35:M35"/>
    <mergeCell ref="C36:M36"/>
    <mergeCell ref="C37:F37"/>
    <mergeCell ref="C38:M38"/>
    <mergeCell ref="C27:M27"/>
    <mergeCell ref="C28:F28"/>
    <mergeCell ref="C29:F29"/>
    <mergeCell ref="C30:M30"/>
    <mergeCell ref="C31:M31"/>
    <mergeCell ref="C32:M32"/>
    <mergeCell ref="C21:F21"/>
    <mergeCell ref="C22:M22"/>
    <mergeCell ref="C23:M23"/>
    <mergeCell ref="C24:F24"/>
    <mergeCell ref="C25:F25"/>
    <mergeCell ref="C26:M26"/>
    <mergeCell ref="C15:M15"/>
    <mergeCell ref="C16:M16"/>
    <mergeCell ref="C17:F17"/>
    <mergeCell ref="C18:F18"/>
    <mergeCell ref="C19:M19"/>
    <mergeCell ref="C20:M20"/>
    <mergeCell ref="C10:F10"/>
    <mergeCell ref="J10:L10"/>
    <mergeCell ref="C11:F11"/>
    <mergeCell ref="C12:F12"/>
    <mergeCell ref="C13:F13"/>
    <mergeCell ref="C14:F14"/>
    <mergeCell ref="A8:B9"/>
    <mergeCell ref="C8:D9"/>
    <mergeCell ref="E8:F9"/>
    <mergeCell ref="G8:H9"/>
    <mergeCell ref="I8:I9"/>
    <mergeCell ref="J8:M9"/>
    <mergeCell ref="A6:B7"/>
    <mergeCell ref="C6:D7"/>
    <mergeCell ref="E6:F7"/>
    <mergeCell ref="G6:H7"/>
    <mergeCell ref="I6:I7"/>
    <mergeCell ref="J6:M7"/>
    <mergeCell ref="A4:B5"/>
    <mergeCell ref="C4:D5"/>
    <mergeCell ref="E4:F5"/>
    <mergeCell ref="G4:H5"/>
    <mergeCell ref="I4:I5"/>
    <mergeCell ref="J4:M5"/>
    <mergeCell ref="A1:M1"/>
    <mergeCell ref="A2:B3"/>
    <mergeCell ref="C2:D3"/>
    <mergeCell ref="E2:F3"/>
    <mergeCell ref="G2:H3"/>
    <mergeCell ref="I2:I3"/>
    <mergeCell ref="J2:M3"/>
  </mergeCells>
  <printOptions/>
  <pageMargins left="0.394" right="0.394" top="0.591" bottom="0.591" header="0.5" footer="0.5"/>
  <pageSetup fitToHeight="0" fitToWidth="1"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BG52"/>
  <sheetViews>
    <sheetView tabSelected="1" zoomScalePageLayoutView="0" workbookViewId="0" topLeftCell="A19">
      <selection activeCell="C11" sqref="C11:I11"/>
    </sheetView>
  </sheetViews>
  <sheetFormatPr defaultColWidth="11.57421875" defaultRowHeight="12.75"/>
  <cols>
    <col min="1" max="1" width="3.7109375" style="73" customWidth="1"/>
    <col min="2" max="2" width="8.00390625" style="73" customWidth="1"/>
    <col min="3" max="3" width="14.28125" style="73" customWidth="1"/>
    <col min="4" max="4" width="1.421875" style="73" customWidth="1"/>
    <col min="5" max="5" width="45.140625" style="73" customWidth="1"/>
    <col min="6" max="6" width="6.7109375" style="73" customWidth="1"/>
    <col min="7" max="7" width="12.8515625" style="73" customWidth="1"/>
    <col min="8" max="8" width="12.00390625" style="73" customWidth="1"/>
    <col min="9" max="9" width="18.7109375" style="73" customWidth="1"/>
    <col min="10" max="19" width="11.57421875" style="73" customWidth="1"/>
    <col min="20" max="59" width="0" style="73" hidden="1" customWidth="1"/>
    <col min="60" max="16384" width="11.57421875" style="73" customWidth="1"/>
  </cols>
  <sheetData>
    <row r="1" spans="1:10" ht="12.75" customHeight="1">
      <c r="A1" s="182" t="s">
        <v>1</v>
      </c>
      <c r="B1" s="183"/>
      <c r="C1" s="183"/>
      <c r="D1" s="186" t="s">
        <v>600</v>
      </c>
      <c r="E1" s="187"/>
      <c r="F1" s="189" t="s">
        <v>386</v>
      </c>
      <c r="G1" s="189"/>
      <c r="H1" s="189"/>
      <c r="I1" s="191"/>
      <c r="J1" s="72"/>
    </row>
    <row r="2" spans="1:10" ht="12.75">
      <c r="A2" s="184"/>
      <c r="B2" s="185"/>
      <c r="C2" s="185"/>
      <c r="D2" s="188"/>
      <c r="E2" s="188"/>
      <c r="F2" s="190"/>
      <c r="G2" s="190"/>
      <c r="H2" s="190"/>
      <c r="I2" s="192"/>
      <c r="J2" s="72"/>
    </row>
    <row r="3" spans="1:10" ht="12.75">
      <c r="A3" s="193" t="s">
        <v>2</v>
      </c>
      <c r="B3" s="185"/>
      <c r="C3" s="185"/>
      <c r="D3" s="194" t="s">
        <v>183</v>
      </c>
      <c r="E3" s="185"/>
      <c r="F3" s="190" t="s">
        <v>387</v>
      </c>
      <c r="G3" s="190"/>
      <c r="H3" s="190"/>
      <c r="I3" s="195"/>
      <c r="J3" s="72"/>
    </row>
    <row r="4" spans="1:10" ht="12.75">
      <c r="A4" s="184"/>
      <c r="B4" s="185"/>
      <c r="C4" s="185"/>
      <c r="D4" s="185"/>
      <c r="E4" s="185"/>
      <c r="F4" s="190"/>
      <c r="G4" s="190"/>
      <c r="H4" s="190"/>
      <c r="I4" s="192"/>
      <c r="J4" s="72"/>
    </row>
    <row r="5" spans="1:10" ht="12.75">
      <c r="A5" s="193" t="s">
        <v>3</v>
      </c>
      <c r="B5" s="185"/>
      <c r="C5" s="185"/>
      <c r="D5" s="194" t="s">
        <v>184</v>
      </c>
      <c r="E5" s="185"/>
      <c r="F5" s="190" t="s">
        <v>388</v>
      </c>
      <c r="G5" s="190"/>
      <c r="H5" s="190"/>
      <c r="I5" s="195"/>
      <c r="J5" s="72"/>
    </row>
    <row r="6" spans="1:10" ht="12.75">
      <c r="A6" s="184"/>
      <c r="B6" s="185"/>
      <c r="C6" s="185"/>
      <c r="D6" s="185"/>
      <c r="E6" s="185"/>
      <c r="F6" s="190"/>
      <c r="G6" s="190"/>
      <c r="H6" s="190"/>
      <c r="I6" s="192"/>
      <c r="J6" s="72"/>
    </row>
    <row r="7" spans="1:10" ht="12.75" customHeight="1">
      <c r="A7" s="193" t="s">
        <v>4</v>
      </c>
      <c r="B7" s="185"/>
      <c r="C7" s="185"/>
      <c r="D7" s="194" t="s">
        <v>6</v>
      </c>
      <c r="E7" s="185"/>
      <c r="F7" s="190" t="s">
        <v>389</v>
      </c>
      <c r="G7" s="190"/>
      <c r="H7" s="190"/>
      <c r="I7" s="195" t="s">
        <v>392</v>
      </c>
      <c r="J7" s="72"/>
    </row>
    <row r="8" spans="1:10" ht="12.75">
      <c r="A8" s="184"/>
      <c r="B8" s="185"/>
      <c r="C8" s="185"/>
      <c r="D8" s="185"/>
      <c r="E8" s="185"/>
      <c r="F8" s="190"/>
      <c r="G8" s="190"/>
      <c r="H8" s="190"/>
      <c r="I8" s="192"/>
      <c r="J8" s="72"/>
    </row>
    <row r="9" spans="1:10" ht="15" customHeight="1">
      <c r="A9" s="184" t="s">
        <v>520</v>
      </c>
      <c r="B9" s="185"/>
      <c r="C9" s="196"/>
      <c r="D9" s="196"/>
      <c r="E9" s="196"/>
      <c r="F9" s="196"/>
      <c r="G9" s="196"/>
      <c r="H9" s="196"/>
      <c r="I9" s="197"/>
      <c r="J9" s="72"/>
    </row>
    <row r="10" spans="1:10" ht="15" customHeight="1">
      <c r="A10" s="184" t="s">
        <v>405</v>
      </c>
      <c r="B10" s="185"/>
      <c r="C10" s="196"/>
      <c r="D10" s="196"/>
      <c r="E10" s="196"/>
      <c r="F10" s="196"/>
      <c r="G10" s="196"/>
      <c r="H10" s="196"/>
      <c r="I10" s="197"/>
      <c r="J10" s="72"/>
    </row>
    <row r="11" spans="1:10" ht="15" customHeight="1">
      <c r="A11" s="184" t="s">
        <v>406</v>
      </c>
      <c r="B11" s="185"/>
      <c r="C11" s="196"/>
      <c r="D11" s="196"/>
      <c r="E11" s="196"/>
      <c r="F11" s="196"/>
      <c r="G11" s="196"/>
      <c r="H11" s="196"/>
      <c r="I11" s="197"/>
      <c r="J11" s="72"/>
    </row>
    <row r="12" spans="1:10" ht="15" customHeight="1" thickBot="1">
      <c r="A12" s="198" t="s">
        <v>407</v>
      </c>
      <c r="B12" s="199"/>
      <c r="C12" s="200"/>
      <c r="D12" s="200"/>
      <c r="E12" s="200"/>
      <c r="F12" s="200"/>
      <c r="G12" s="200"/>
      <c r="H12" s="200"/>
      <c r="I12" s="201"/>
      <c r="J12" s="72"/>
    </row>
    <row r="13" spans="1:59" ht="12.75">
      <c r="A13" s="74" t="s">
        <v>5</v>
      </c>
      <c r="B13" s="75" t="s">
        <v>479</v>
      </c>
      <c r="C13" s="75" t="s">
        <v>85</v>
      </c>
      <c r="D13" s="202" t="s">
        <v>185</v>
      </c>
      <c r="E13" s="203"/>
      <c r="F13" s="76" t="s">
        <v>393</v>
      </c>
      <c r="G13" s="76" t="s">
        <v>403</v>
      </c>
      <c r="H13" s="77" t="s">
        <v>408</v>
      </c>
      <c r="I13" s="78" t="s">
        <v>521</v>
      </c>
      <c r="J13" s="72"/>
      <c r="BF13" s="79" t="s">
        <v>475</v>
      </c>
      <c r="BG13" s="80" t="s">
        <v>478</v>
      </c>
    </row>
    <row r="14" spans="1:57" ht="13.5" thickBot="1">
      <c r="A14" s="81" t="s">
        <v>6</v>
      </c>
      <c r="B14" s="82" t="s">
        <v>6</v>
      </c>
      <c r="C14" s="82" t="s">
        <v>6</v>
      </c>
      <c r="D14" s="204" t="s">
        <v>186</v>
      </c>
      <c r="E14" s="205"/>
      <c r="F14" s="82" t="s">
        <v>6</v>
      </c>
      <c r="G14" s="82" t="s">
        <v>6</v>
      </c>
      <c r="H14" s="83" t="s">
        <v>409</v>
      </c>
      <c r="I14" s="84" t="s">
        <v>409</v>
      </c>
      <c r="J14" s="72"/>
      <c r="U14" s="79" t="s">
        <v>421</v>
      </c>
      <c r="V14" s="79" t="s">
        <v>422</v>
      </c>
      <c r="W14" s="79" t="s">
        <v>423</v>
      </c>
      <c r="X14" s="79" t="s">
        <v>424</v>
      </c>
      <c r="Y14" s="79" t="s">
        <v>425</v>
      </c>
      <c r="Z14" s="79" t="s">
        <v>426</v>
      </c>
      <c r="AA14" s="79" t="s">
        <v>427</v>
      </c>
      <c r="AB14" s="79" t="s">
        <v>428</v>
      </c>
      <c r="AC14" s="79" t="s">
        <v>429</v>
      </c>
      <c r="BC14" s="79" t="s">
        <v>472</v>
      </c>
      <c r="BD14" s="79" t="s">
        <v>473</v>
      </c>
      <c r="BE14" s="79" t="s">
        <v>474</v>
      </c>
    </row>
    <row r="15" spans="1:9" ht="12.75" customHeight="1">
      <c r="A15" s="85">
        <v>1</v>
      </c>
      <c r="B15" s="86"/>
      <c r="C15" s="87" t="s">
        <v>522</v>
      </c>
      <c r="D15" s="206" t="s">
        <v>523</v>
      </c>
      <c r="E15" s="207"/>
      <c r="F15" s="88" t="s">
        <v>524</v>
      </c>
      <c r="G15" s="89">
        <v>1</v>
      </c>
      <c r="H15" s="90"/>
      <c r="I15" s="91">
        <f>G15*H15</f>
        <v>0</v>
      </c>
    </row>
    <row r="16" spans="1:9" ht="12.75" customHeight="1">
      <c r="A16" s="85">
        <v>2</v>
      </c>
      <c r="B16" s="86"/>
      <c r="C16" s="87" t="s">
        <v>525</v>
      </c>
      <c r="D16" s="208" t="s">
        <v>526</v>
      </c>
      <c r="E16" s="209" t="s">
        <v>526</v>
      </c>
      <c r="F16" s="88" t="s">
        <v>524</v>
      </c>
      <c r="G16" s="89">
        <v>1</v>
      </c>
      <c r="H16" s="90"/>
      <c r="I16" s="91">
        <f aca="true" t="shared" si="0" ref="I16:I50">G16*H16</f>
        <v>0</v>
      </c>
    </row>
    <row r="17" spans="1:9" ht="12.75">
      <c r="A17" s="85">
        <v>3</v>
      </c>
      <c r="B17" s="86"/>
      <c r="C17" s="87" t="s">
        <v>527</v>
      </c>
      <c r="D17" s="208" t="s">
        <v>528</v>
      </c>
      <c r="E17" s="209" t="s">
        <v>528</v>
      </c>
      <c r="F17" s="88" t="s">
        <v>524</v>
      </c>
      <c r="G17" s="89">
        <v>3</v>
      </c>
      <c r="H17" s="90"/>
      <c r="I17" s="91">
        <f t="shared" si="0"/>
        <v>0</v>
      </c>
    </row>
    <row r="18" spans="1:9" ht="12.75">
      <c r="A18" s="85">
        <v>4</v>
      </c>
      <c r="B18" s="86"/>
      <c r="C18" s="87" t="s">
        <v>529</v>
      </c>
      <c r="D18" s="208" t="s">
        <v>530</v>
      </c>
      <c r="E18" s="209" t="s">
        <v>530</v>
      </c>
      <c r="F18" s="88" t="s">
        <v>524</v>
      </c>
      <c r="G18" s="89">
        <v>3</v>
      </c>
      <c r="H18" s="90"/>
      <c r="I18" s="91">
        <f t="shared" si="0"/>
        <v>0</v>
      </c>
    </row>
    <row r="19" spans="1:9" ht="12.75">
      <c r="A19" s="85">
        <v>5</v>
      </c>
      <c r="B19" s="86"/>
      <c r="C19" s="87" t="s">
        <v>531</v>
      </c>
      <c r="D19" s="208" t="s">
        <v>532</v>
      </c>
      <c r="E19" s="209" t="s">
        <v>532</v>
      </c>
      <c r="F19" s="88" t="s">
        <v>524</v>
      </c>
      <c r="G19" s="89">
        <v>15</v>
      </c>
      <c r="H19" s="90"/>
      <c r="I19" s="91">
        <f t="shared" si="0"/>
        <v>0</v>
      </c>
    </row>
    <row r="20" spans="1:9" ht="12.75">
      <c r="A20" s="85">
        <v>6</v>
      </c>
      <c r="B20" s="86"/>
      <c r="C20" s="87" t="s">
        <v>533</v>
      </c>
      <c r="D20" s="208" t="s">
        <v>534</v>
      </c>
      <c r="E20" s="209" t="s">
        <v>534</v>
      </c>
      <c r="F20" s="88" t="s">
        <v>524</v>
      </c>
      <c r="G20" s="89">
        <v>3</v>
      </c>
      <c r="H20" s="90"/>
      <c r="I20" s="91">
        <f t="shared" si="0"/>
        <v>0</v>
      </c>
    </row>
    <row r="21" spans="1:9" ht="12.75">
      <c r="A21" s="85">
        <v>7</v>
      </c>
      <c r="B21" s="86"/>
      <c r="C21" s="87" t="s">
        <v>535</v>
      </c>
      <c r="D21" s="208" t="s">
        <v>536</v>
      </c>
      <c r="E21" s="208" t="s">
        <v>536</v>
      </c>
      <c r="F21" s="88" t="s">
        <v>524</v>
      </c>
      <c r="G21" s="89">
        <v>70</v>
      </c>
      <c r="H21" s="90"/>
      <c r="I21" s="91">
        <f t="shared" si="0"/>
        <v>0</v>
      </c>
    </row>
    <row r="22" spans="1:9" ht="12.75">
      <c r="A22" s="85">
        <v>8</v>
      </c>
      <c r="B22" s="86"/>
      <c r="C22" s="87" t="s">
        <v>537</v>
      </c>
      <c r="D22" s="208" t="s">
        <v>538</v>
      </c>
      <c r="E22" s="209" t="s">
        <v>538</v>
      </c>
      <c r="F22" s="88" t="s">
        <v>524</v>
      </c>
      <c r="G22" s="89">
        <v>10</v>
      </c>
      <c r="H22" s="90"/>
      <c r="I22" s="91">
        <f t="shared" si="0"/>
        <v>0</v>
      </c>
    </row>
    <row r="23" spans="1:9" ht="12.75">
      <c r="A23" s="85">
        <v>9</v>
      </c>
      <c r="B23" s="86"/>
      <c r="C23" s="87" t="s">
        <v>539</v>
      </c>
      <c r="D23" s="208" t="s">
        <v>540</v>
      </c>
      <c r="E23" s="209" t="s">
        <v>540</v>
      </c>
      <c r="F23" s="88" t="s">
        <v>541</v>
      </c>
      <c r="G23" s="89">
        <v>30</v>
      </c>
      <c r="H23" s="90"/>
      <c r="I23" s="91">
        <f t="shared" si="0"/>
        <v>0</v>
      </c>
    </row>
    <row r="24" spans="1:9" ht="12.75">
      <c r="A24" s="85">
        <v>10</v>
      </c>
      <c r="B24" s="86"/>
      <c r="C24" s="87" t="s">
        <v>542</v>
      </c>
      <c r="D24" s="208" t="s">
        <v>543</v>
      </c>
      <c r="E24" s="209" t="s">
        <v>543</v>
      </c>
      <c r="F24" s="88" t="s">
        <v>396</v>
      </c>
      <c r="G24" s="89">
        <v>136</v>
      </c>
      <c r="H24" s="90"/>
      <c r="I24" s="91">
        <f t="shared" si="0"/>
        <v>0</v>
      </c>
    </row>
    <row r="25" spans="1:9" ht="12.75">
      <c r="A25" s="85">
        <v>11</v>
      </c>
      <c r="B25" s="86"/>
      <c r="C25" s="87" t="s">
        <v>544</v>
      </c>
      <c r="D25" s="208" t="s">
        <v>545</v>
      </c>
      <c r="E25" s="209" t="s">
        <v>545</v>
      </c>
      <c r="F25" s="88" t="s">
        <v>396</v>
      </c>
      <c r="G25" s="89">
        <v>133</v>
      </c>
      <c r="H25" s="90"/>
      <c r="I25" s="91">
        <f t="shared" si="0"/>
        <v>0</v>
      </c>
    </row>
    <row r="26" spans="1:9" ht="12.75">
      <c r="A26" s="85">
        <v>12</v>
      </c>
      <c r="B26" s="86"/>
      <c r="C26" s="87" t="s">
        <v>546</v>
      </c>
      <c r="D26" s="208" t="s">
        <v>547</v>
      </c>
      <c r="E26" s="209" t="s">
        <v>547</v>
      </c>
      <c r="F26" s="88" t="s">
        <v>396</v>
      </c>
      <c r="G26" s="89">
        <v>133</v>
      </c>
      <c r="H26" s="90"/>
      <c r="I26" s="91">
        <f t="shared" si="0"/>
        <v>0</v>
      </c>
    </row>
    <row r="27" spans="1:9" ht="12.75">
      <c r="A27" s="85">
        <v>13</v>
      </c>
      <c r="B27" s="86"/>
      <c r="C27" s="87" t="s">
        <v>548</v>
      </c>
      <c r="D27" s="208" t="s">
        <v>549</v>
      </c>
      <c r="E27" s="209" t="s">
        <v>549</v>
      </c>
      <c r="F27" s="88" t="s">
        <v>524</v>
      </c>
      <c r="G27" s="89">
        <v>3</v>
      </c>
      <c r="H27" s="90"/>
      <c r="I27" s="91">
        <f t="shared" si="0"/>
        <v>0</v>
      </c>
    </row>
    <row r="28" spans="1:9" ht="12.75">
      <c r="A28" s="85">
        <v>14</v>
      </c>
      <c r="B28" s="86"/>
      <c r="C28" s="87" t="s">
        <v>550</v>
      </c>
      <c r="D28" s="208" t="s">
        <v>551</v>
      </c>
      <c r="E28" s="209" t="s">
        <v>551</v>
      </c>
      <c r="F28" s="88" t="s">
        <v>524</v>
      </c>
      <c r="G28" s="89">
        <v>3</v>
      </c>
      <c r="H28" s="90"/>
      <c r="I28" s="91">
        <f t="shared" si="0"/>
        <v>0</v>
      </c>
    </row>
    <row r="29" spans="1:9" ht="12.75">
      <c r="A29" s="85">
        <v>15</v>
      </c>
      <c r="B29" s="86"/>
      <c r="C29" s="87" t="s">
        <v>552</v>
      </c>
      <c r="D29" s="208" t="s">
        <v>553</v>
      </c>
      <c r="E29" s="209" t="s">
        <v>553</v>
      </c>
      <c r="F29" s="88" t="s">
        <v>524</v>
      </c>
      <c r="G29" s="89">
        <v>2</v>
      </c>
      <c r="H29" s="90"/>
      <c r="I29" s="91">
        <f t="shared" si="0"/>
        <v>0</v>
      </c>
    </row>
    <row r="30" spans="1:9" ht="12.75">
      <c r="A30" s="85">
        <v>16</v>
      </c>
      <c r="B30" s="86"/>
      <c r="C30" s="87" t="s">
        <v>554</v>
      </c>
      <c r="D30" s="208" t="s">
        <v>555</v>
      </c>
      <c r="E30" s="209" t="s">
        <v>555</v>
      </c>
      <c r="F30" s="88" t="s">
        <v>541</v>
      </c>
      <c r="G30" s="89">
        <v>30</v>
      </c>
      <c r="H30" s="90"/>
      <c r="I30" s="91">
        <f t="shared" si="0"/>
        <v>0</v>
      </c>
    </row>
    <row r="31" spans="1:9" ht="12.75">
      <c r="A31" s="85">
        <v>17</v>
      </c>
      <c r="B31" s="86"/>
      <c r="C31" s="87" t="s">
        <v>556</v>
      </c>
      <c r="D31" s="208" t="s">
        <v>557</v>
      </c>
      <c r="E31" s="209" t="s">
        <v>557</v>
      </c>
      <c r="F31" s="88" t="s">
        <v>524</v>
      </c>
      <c r="G31" s="89">
        <v>1</v>
      </c>
      <c r="H31" s="90"/>
      <c r="I31" s="91">
        <f t="shared" si="0"/>
        <v>0</v>
      </c>
    </row>
    <row r="32" spans="1:9" ht="12.75">
      <c r="A32" s="85">
        <v>18</v>
      </c>
      <c r="B32" s="86"/>
      <c r="C32" s="87" t="s">
        <v>558</v>
      </c>
      <c r="D32" s="208" t="s">
        <v>559</v>
      </c>
      <c r="E32" s="208" t="s">
        <v>559</v>
      </c>
      <c r="F32" s="88" t="s">
        <v>396</v>
      </c>
      <c r="G32" s="89">
        <v>136</v>
      </c>
      <c r="H32" s="90"/>
      <c r="I32" s="91">
        <f t="shared" si="0"/>
        <v>0</v>
      </c>
    </row>
    <row r="33" spans="1:9" ht="12.75">
      <c r="A33" s="85">
        <v>19</v>
      </c>
      <c r="B33" s="86"/>
      <c r="C33" s="87" t="s">
        <v>560</v>
      </c>
      <c r="D33" s="208" t="s">
        <v>561</v>
      </c>
      <c r="E33" s="208" t="s">
        <v>561</v>
      </c>
      <c r="F33" s="88" t="s">
        <v>524</v>
      </c>
      <c r="G33" s="89">
        <v>8</v>
      </c>
      <c r="H33" s="90"/>
      <c r="I33" s="91">
        <f t="shared" si="0"/>
        <v>0</v>
      </c>
    </row>
    <row r="34" spans="1:9" ht="12.75">
      <c r="A34" s="85">
        <v>20</v>
      </c>
      <c r="B34" s="86"/>
      <c r="C34" s="87" t="s">
        <v>562</v>
      </c>
      <c r="D34" s="208" t="s">
        <v>563</v>
      </c>
      <c r="E34" s="208" t="s">
        <v>563</v>
      </c>
      <c r="F34" s="88" t="s">
        <v>524</v>
      </c>
      <c r="G34" s="89">
        <v>8</v>
      </c>
      <c r="H34" s="90"/>
      <c r="I34" s="91">
        <f t="shared" si="0"/>
        <v>0</v>
      </c>
    </row>
    <row r="35" spans="1:9" ht="12.75">
      <c r="A35" s="85">
        <v>21</v>
      </c>
      <c r="B35" s="86"/>
      <c r="C35" s="87" t="s">
        <v>564</v>
      </c>
      <c r="D35" s="208" t="s">
        <v>565</v>
      </c>
      <c r="E35" s="208" t="s">
        <v>565</v>
      </c>
      <c r="F35" s="88" t="s">
        <v>524</v>
      </c>
      <c r="G35" s="89">
        <v>33</v>
      </c>
      <c r="H35" s="90"/>
      <c r="I35" s="91">
        <f t="shared" si="0"/>
        <v>0</v>
      </c>
    </row>
    <row r="36" spans="1:9" ht="12.75">
      <c r="A36" s="85">
        <v>22</v>
      </c>
      <c r="B36" s="86"/>
      <c r="C36" s="87" t="s">
        <v>566</v>
      </c>
      <c r="D36" s="208" t="s">
        <v>567</v>
      </c>
      <c r="E36" s="208" t="s">
        <v>567</v>
      </c>
      <c r="F36" s="88" t="s">
        <v>524</v>
      </c>
      <c r="G36" s="89">
        <v>33</v>
      </c>
      <c r="H36" s="90"/>
      <c r="I36" s="91">
        <f t="shared" si="0"/>
        <v>0</v>
      </c>
    </row>
    <row r="37" spans="1:9" ht="12.75">
      <c r="A37" s="85">
        <v>23</v>
      </c>
      <c r="B37" s="86"/>
      <c r="C37" s="87" t="s">
        <v>568</v>
      </c>
      <c r="D37" s="208" t="s">
        <v>569</v>
      </c>
      <c r="E37" s="208" t="s">
        <v>569</v>
      </c>
      <c r="F37" s="88" t="s">
        <v>524</v>
      </c>
      <c r="G37" s="89">
        <v>2</v>
      </c>
      <c r="H37" s="90"/>
      <c r="I37" s="91">
        <f t="shared" si="0"/>
        <v>0</v>
      </c>
    </row>
    <row r="38" spans="1:9" ht="12.75">
      <c r="A38" s="85">
        <v>24</v>
      </c>
      <c r="B38" s="86"/>
      <c r="C38" s="87" t="s">
        <v>570</v>
      </c>
      <c r="D38" s="208" t="s">
        <v>571</v>
      </c>
      <c r="E38" s="208" t="s">
        <v>571</v>
      </c>
      <c r="F38" s="88" t="s">
        <v>524</v>
      </c>
      <c r="G38" s="89">
        <v>2</v>
      </c>
      <c r="H38" s="90"/>
      <c r="I38" s="91">
        <f t="shared" si="0"/>
        <v>0</v>
      </c>
    </row>
    <row r="39" spans="1:9" ht="12.75">
      <c r="A39" s="85">
        <v>25</v>
      </c>
      <c r="B39" s="86"/>
      <c r="C39" s="87" t="s">
        <v>572</v>
      </c>
      <c r="D39" s="208" t="s">
        <v>573</v>
      </c>
      <c r="E39" s="208" t="s">
        <v>573</v>
      </c>
      <c r="F39" s="88" t="s">
        <v>574</v>
      </c>
      <c r="G39" s="89">
        <v>1</v>
      </c>
      <c r="H39" s="90"/>
      <c r="I39" s="91">
        <f t="shared" si="0"/>
        <v>0</v>
      </c>
    </row>
    <row r="40" spans="1:9" ht="12.75">
      <c r="A40" s="85">
        <v>26</v>
      </c>
      <c r="B40" s="86"/>
      <c r="C40" s="87" t="s">
        <v>575</v>
      </c>
      <c r="D40" s="208" t="s">
        <v>576</v>
      </c>
      <c r="E40" s="208" t="s">
        <v>576</v>
      </c>
      <c r="F40" s="88" t="s">
        <v>574</v>
      </c>
      <c r="G40" s="89">
        <v>1</v>
      </c>
      <c r="H40" s="90"/>
      <c r="I40" s="91">
        <f t="shared" si="0"/>
        <v>0</v>
      </c>
    </row>
    <row r="41" spans="1:9" ht="12.75">
      <c r="A41" s="85">
        <v>27</v>
      </c>
      <c r="B41" s="86"/>
      <c r="C41" s="87" t="s">
        <v>577</v>
      </c>
      <c r="D41" s="208" t="s">
        <v>578</v>
      </c>
      <c r="E41" s="208" t="s">
        <v>578</v>
      </c>
      <c r="F41" s="88" t="s">
        <v>574</v>
      </c>
      <c r="G41" s="89">
        <v>1</v>
      </c>
      <c r="H41" s="90"/>
      <c r="I41" s="91">
        <f t="shared" si="0"/>
        <v>0</v>
      </c>
    </row>
    <row r="42" spans="1:9" ht="12.75">
      <c r="A42" s="85">
        <v>28</v>
      </c>
      <c r="B42" s="86"/>
      <c r="C42" s="87" t="s">
        <v>579</v>
      </c>
      <c r="D42" s="208" t="s">
        <v>580</v>
      </c>
      <c r="E42" s="208" t="s">
        <v>580</v>
      </c>
      <c r="F42" s="88" t="s">
        <v>524</v>
      </c>
      <c r="G42" s="89">
        <v>2</v>
      </c>
      <c r="H42" s="90"/>
      <c r="I42" s="91">
        <f t="shared" si="0"/>
        <v>0</v>
      </c>
    </row>
    <row r="43" spans="1:9" ht="12.75">
      <c r="A43" s="85">
        <v>29</v>
      </c>
      <c r="B43" s="86"/>
      <c r="C43" s="87" t="s">
        <v>581</v>
      </c>
      <c r="D43" s="208" t="s">
        <v>582</v>
      </c>
      <c r="E43" s="208" t="s">
        <v>582</v>
      </c>
      <c r="F43" s="88" t="s">
        <v>524</v>
      </c>
      <c r="G43" s="89">
        <v>2</v>
      </c>
      <c r="H43" s="90"/>
      <c r="I43" s="91">
        <f t="shared" si="0"/>
        <v>0</v>
      </c>
    </row>
    <row r="44" spans="1:9" ht="12.75">
      <c r="A44" s="85">
        <v>30</v>
      </c>
      <c r="B44" s="86"/>
      <c r="C44" s="87" t="s">
        <v>583</v>
      </c>
      <c r="D44" s="208" t="s">
        <v>584</v>
      </c>
      <c r="E44" s="208" t="s">
        <v>584</v>
      </c>
      <c r="F44" s="88" t="s">
        <v>574</v>
      </c>
      <c r="G44" s="89">
        <v>1</v>
      </c>
      <c r="H44" s="90"/>
      <c r="I44" s="91">
        <f t="shared" si="0"/>
        <v>0</v>
      </c>
    </row>
    <row r="45" spans="1:9" ht="12.75">
      <c r="A45" s="85">
        <v>31</v>
      </c>
      <c r="B45" s="86"/>
      <c r="C45" s="87" t="s">
        <v>585</v>
      </c>
      <c r="D45" s="208" t="s">
        <v>586</v>
      </c>
      <c r="E45" s="208" t="s">
        <v>586</v>
      </c>
      <c r="F45" s="88" t="s">
        <v>574</v>
      </c>
      <c r="G45" s="89">
        <v>1</v>
      </c>
      <c r="H45" s="90"/>
      <c r="I45" s="91">
        <f t="shared" si="0"/>
        <v>0</v>
      </c>
    </row>
    <row r="46" spans="1:9" ht="12.75">
      <c r="A46" s="85">
        <v>32</v>
      </c>
      <c r="B46" s="86"/>
      <c r="C46" s="87" t="s">
        <v>587</v>
      </c>
      <c r="D46" s="208" t="s">
        <v>588</v>
      </c>
      <c r="E46" s="208" t="s">
        <v>588</v>
      </c>
      <c r="F46" s="88" t="s">
        <v>574</v>
      </c>
      <c r="G46" s="89">
        <v>1</v>
      </c>
      <c r="H46" s="90"/>
      <c r="I46" s="91">
        <f t="shared" si="0"/>
        <v>0</v>
      </c>
    </row>
    <row r="47" spans="1:9" ht="12.75">
      <c r="A47" s="85">
        <v>33</v>
      </c>
      <c r="B47" s="86"/>
      <c r="C47" s="87" t="s">
        <v>589</v>
      </c>
      <c r="D47" s="208" t="s">
        <v>590</v>
      </c>
      <c r="E47" s="208" t="s">
        <v>590</v>
      </c>
      <c r="F47" s="88" t="s">
        <v>574</v>
      </c>
      <c r="G47" s="89">
        <v>1</v>
      </c>
      <c r="H47" s="90"/>
      <c r="I47" s="91">
        <f t="shared" si="0"/>
        <v>0</v>
      </c>
    </row>
    <row r="48" spans="1:9" ht="12.75">
      <c r="A48" s="85">
        <v>34</v>
      </c>
      <c r="B48" s="86"/>
      <c r="C48" s="87" t="s">
        <v>591</v>
      </c>
      <c r="D48" s="208" t="s">
        <v>592</v>
      </c>
      <c r="E48" s="208"/>
      <c r="F48" s="88" t="s">
        <v>593</v>
      </c>
      <c r="G48" s="89">
        <v>40</v>
      </c>
      <c r="H48" s="90"/>
      <c r="I48" s="91">
        <f t="shared" si="0"/>
        <v>0</v>
      </c>
    </row>
    <row r="49" spans="1:9" ht="12.75">
      <c r="A49" s="85">
        <v>35</v>
      </c>
      <c r="B49" s="86"/>
      <c r="C49" s="87" t="s">
        <v>594</v>
      </c>
      <c r="D49" s="208" t="s">
        <v>595</v>
      </c>
      <c r="E49" s="208" t="s">
        <v>595</v>
      </c>
      <c r="F49" s="88" t="s">
        <v>574</v>
      </c>
      <c r="G49" s="89">
        <v>1</v>
      </c>
      <c r="H49" s="90"/>
      <c r="I49" s="91">
        <f t="shared" si="0"/>
        <v>0</v>
      </c>
    </row>
    <row r="50" spans="1:9" ht="13.5" thickBot="1">
      <c r="A50" s="92">
        <v>36</v>
      </c>
      <c r="B50" s="93"/>
      <c r="C50" s="94" t="s">
        <v>596</v>
      </c>
      <c r="D50" s="210" t="s">
        <v>597</v>
      </c>
      <c r="E50" s="210" t="s">
        <v>597</v>
      </c>
      <c r="F50" s="95" t="s">
        <v>574</v>
      </c>
      <c r="G50" s="96">
        <v>1</v>
      </c>
      <c r="H50" s="97"/>
      <c r="I50" s="98">
        <f t="shared" si="0"/>
        <v>0</v>
      </c>
    </row>
    <row r="51" ht="12.75">
      <c r="I51" s="99"/>
    </row>
    <row r="52" spans="7:9" ht="12.75">
      <c r="G52" s="100" t="s">
        <v>415</v>
      </c>
      <c r="H52" s="100"/>
      <c r="I52" s="101">
        <f>SUM(I15:I50)</f>
        <v>0</v>
      </c>
    </row>
  </sheetData>
  <sheetProtection/>
  <mergeCells count="62">
    <mergeCell ref="D47:E47"/>
    <mergeCell ref="D48:E48"/>
    <mergeCell ref="D49:E49"/>
    <mergeCell ref="D50:E50"/>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2:B12"/>
    <mergeCell ref="C12:I12"/>
    <mergeCell ref="D13:E13"/>
    <mergeCell ref="D14:E14"/>
    <mergeCell ref="D15:E15"/>
    <mergeCell ref="D16:E16"/>
    <mergeCell ref="A9:B9"/>
    <mergeCell ref="C9:I9"/>
    <mergeCell ref="A10:B10"/>
    <mergeCell ref="C10:I10"/>
    <mergeCell ref="A11:B11"/>
    <mergeCell ref="C11:I11"/>
    <mergeCell ref="A5:C6"/>
    <mergeCell ref="D5:E6"/>
    <mergeCell ref="F5:H6"/>
    <mergeCell ref="I5:I6"/>
    <mergeCell ref="A7:C8"/>
    <mergeCell ref="D7:E8"/>
    <mergeCell ref="F7:H8"/>
    <mergeCell ref="I7:I8"/>
    <mergeCell ref="A1:C2"/>
    <mergeCell ref="D1:E2"/>
    <mergeCell ref="F1:H2"/>
    <mergeCell ref="I1:I2"/>
    <mergeCell ref="A3:C4"/>
    <mergeCell ref="D3:E4"/>
    <mergeCell ref="F3:H4"/>
    <mergeCell ref="I3:I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Martin Knobloch</dc:creator>
  <cp:keywords/>
  <dc:description/>
  <cp:lastModifiedBy>Ing. Martin Knobloch</cp:lastModifiedBy>
  <dcterms:created xsi:type="dcterms:W3CDTF">2021-07-20T08:54:10Z</dcterms:created>
  <dcterms:modified xsi:type="dcterms:W3CDTF">2021-07-20T08:54:10Z</dcterms:modified>
  <cp:category/>
  <cp:version/>
  <cp:contentType/>
  <cp:contentStatus/>
</cp:coreProperties>
</file>