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nobloch\Desktop\fasada final\zveřejnění\"/>
    </mc:Choice>
  </mc:AlternateContent>
  <bookViews>
    <workbookView xWindow="0" yWindow="0" windowWidth="28800" windowHeight="12435" firstSheet="1" activeTab="3"/>
  </bookViews>
  <sheets>
    <sheet name="Rekapitulace stavby" sheetId="1" r:id="rId1"/>
    <sheet name="2018-010-b - Fasáda objek..." sheetId="2" r:id="rId2"/>
    <sheet name="2018-010-e - Elektroinsta..." sheetId="3" r:id="rId3"/>
    <sheet name="2018-010-f - Elektroinsta..." sheetId="4" r:id="rId4"/>
    <sheet name="2018-010-c - Fasáda objek..." sheetId="5" r:id="rId5"/>
  </sheets>
  <definedNames>
    <definedName name="_xlnm.Print_Titles" localSheetId="1">'2018-010-b - Fasáda objek...'!$117:$117</definedName>
    <definedName name="_xlnm.Print_Titles" localSheetId="4">'2018-010-c - Fasáda objek...'!$117:$117</definedName>
    <definedName name="_xlnm.Print_Titles" localSheetId="2">'2018-010-e - Elektroinsta...'!$112:$112</definedName>
    <definedName name="_xlnm.Print_Titles" localSheetId="3">'2018-010-f - Elektroinsta...'!$112:$112</definedName>
    <definedName name="_xlnm.Print_Titles" localSheetId="0">'Rekapitulace stavby'!$85:$85</definedName>
    <definedName name="_xlnm.Print_Area" localSheetId="1">'2018-010-b - Fasáda objek...'!$C$4:$Q$70,'2018-010-b - Fasáda objek...'!$C$76:$Q$101,'2018-010-b - Fasáda objek...'!$C$107:$Q$274</definedName>
    <definedName name="_xlnm.Print_Area" localSheetId="4">'2018-010-c - Fasáda objek...'!$C$4:$Q$70,'2018-010-c - Fasáda objek...'!$C$76:$Q$101,'2018-010-c - Fasáda objek...'!$C$107:$Q$291</definedName>
    <definedName name="_xlnm.Print_Area" localSheetId="2">'2018-010-e - Elektroinsta...'!$C$4:$Q$70,'2018-010-e - Elektroinsta...'!$C$76:$Q$96,'2018-010-e - Elektroinsta...'!$C$102:$Q$153</definedName>
    <definedName name="_xlnm.Print_Area" localSheetId="3">'2018-010-f - Elektroinsta...'!$C$4:$Q$70,'2018-010-f - Elektroinsta...'!$C$76:$Q$96,'2018-010-f - Elektroinsta...'!$C$102:$Q$153</definedName>
    <definedName name="_xlnm.Print_Area" localSheetId="0">'Rekapitulace stavby'!$C$4:$AP$70,'Rekapitulace stavby'!$C$76:$AP$95</definedName>
    <definedName name="Z_182649BD_95A6_4BAE_AF43_DC5E29303FC2_.wvu.Cols" localSheetId="1" hidden="1">'2018-010-b - Fasáda objek...'!$T:$AB,'2018-010-b - Fasáda objek...'!$AE:$AV</definedName>
    <definedName name="Z_182649BD_95A6_4BAE_AF43_DC5E29303FC2_.wvu.Cols" localSheetId="4" hidden="1">'2018-010-c - Fasáda objek...'!$T:$AB,'2018-010-c - Fasáda objek...'!$AE:$AK</definedName>
    <definedName name="Z_182649BD_95A6_4BAE_AF43_DC5E29303FC2_.wvu.Cols" localSheetId="2" hidden="1">'2018-010-e - Elektroinsta...'!$T:$AB,'2018-010-e - Elektroinsta...'!$AE:$AV</definedName>
    <definedName name="Z_182649BD_95A6_4BAE_AF43_DC5E29303FC2_.wvu.Cols" localSheetId="3" hidden="1">'2018-010-f - Elektroinsta...'!$T:$AB,'2018-010-f - Elektroinsta...'!#REF!,'2018-010-f - Elektroinsta...'!$AE:$AK</definedName>
    <definedName name="Z_182649BD_95A6_4BAE_AF43_DC5E29303FC2_.wvu.Cols" localSheetId="0" hidden="1">'Rekapitulace stavby'!$AS:$BD</definedName>
    <definedName name="Z_182649BD_95A6_4BAE_AF43_DC5E29303FC2_.wvu.PrintArea" localSheetId="1" hidden="1">'2018-010-b - Fasáda objek...'!$C$4:$Q$70,'2018-010-b - Fasáda objek...'!$C$76:$Q$101,'2018-010-b - Fasáda objek...'!$C$107:$Q$274</definedName>
    <definedName name="Z_182649BD_95A6_4BAE_AF43_DC5E29303FC2_.wvu.PrintArea" localSheetId="4" hidden="1">'2018-010-c - Fasáda objek...'!$C$4:$Q$70,'2018-010-c - Fasáda objek...'!$C$76:$Q$101,'2018-010-c - Fasáda objek...'!$C$107:$Q$291</definedName>
    <definedName name="Z_182649BD_95A6_4BAE_AF43_DC5E29303FC2_.wvu.PrintArea" localSheetId="2" hidden="1">'2018-010-e - Elektroinsta...'!$C$4:$Q$70,'2018-010-e - Elektroinsta...'!$C$76:$Q$96,'2018-010-e - Elektroinsta...'!$C$102:$Q$153</definedName>
    <definedName name="Z_182649BD_95A6_4BAE_AF43_DC5E29303FC2_.wvu.PrintArea" localSheetId="3" hidden="1">'2018-010-f - Elektroinsta...'!$C$4:$Q$70,'2018-010-f - Elektroinsta...'!$C$76:$Q$96,'2018-010-f - Elektroinsta...'!$C$102:$Q$153</definedName>
    <definedName name="Z_182649BD_95A6_4BAE_AF43_DC5E29303FC2_.wvu.PrintArea" localSheetId="0" hidden="1">'Rekapitulace stavby'!$C$4:$AP$70,'Rekapitulace stavby'!$C$76:$AP$95</definedName>
    <definedName name="Z_182649BD_95A6_4BAE_AF43_DC5E29303FC2_.wvu.PrintTitles" localSheetId="1" hidden="1">'2018-010-b - Fasáda objek...'!$117:$117</definedName>
    <definedName name="Z_182649BD_95A6_4BAE_AF43_DC5E29303FC2_.wvu.PrintTitles" localSheetId="4" hidden="1">'2018-010-c - Fasáda objek...'!$117:$117</definedName>
    <definedName name="Z_182649BD_95A6_4BAE_AF43_DC5E29303FC2_.wvu.PrintTitles" localSheetId="2" hidden="1">'2018-010-e - Elektroinsta...'!$112:$112</definedName>
    <definedName name="Z_182649BD_95A6_4BAE_AF43_DC5E29303FC2_.wvu.PrintTitles" localSheetId="3" hidden="1">'2018-010-f - Elektroinsta...'!$112:$112</definedName>
    <definedName name="Z_182649BD_95A6_4BAE_AF43_DC5E29303FC2_.wvu.PrintTitles" localSheetId="0" hidden="1">'Rekapitulace stavby'!$85:$85</definedName>
    <definedName name="Z_182649BD_95A6_4BAE_AF43_DC5E29303FC2_.wvu.Rows" localSheetId="1" hidden="1">'2018-010-b - Fasáda objek...'!$34:$36</definedName>
    <definedName name="Z_182649BD_95A6_4BAE_AF43_DC5E29303FC2_.wvu.Rows" localSheetId="4" hidden="1">'2018-010-c - Fasáda objek...'!$34:$36</definedName>
    <definedName name="Z_182649BD_95A6_4BAE_AF43_DC5E29303FC2_.wvu.Rows" localSheetId="2" hidden="1">'2018-010-e - Elektroinsta...'!$34:$36</definedName>
    <definedName name="Z_182649BD_95A6_4BAE_AF43_DC5E29303FC2_.wvu.Rows" localSheetId="3" hidden="1">'2018-010-f - Elektroinsta...'!$34:$36</definedName>
    <definedName name="Z_182649BD_95A6_4BAE_AF43_DC5E29303FC2_.wvu.Rows" localSheetId="0" hidden="1">'Rekapitulace stavby'!$33:$35</definedName>
  </definedNames>
  <calcPr calcId="152511" calcMode="autoNoTable"/>
  <customWorkbookViews>
    <customWorkbookView name="Ing. Martin Knobloch – osobní zobrazení" guid="{182649BD-95A6-4BAE-AF43-DC5E29303FC2}" mergeInterval="0" personalView="1" maximized="1" xWindow="-8" yWindow="-8" windowWidth="1936" windowHeight="1056" activeSheetId="6"/>
  </customWorkbookViews>
</workbook>
</file>

<file path=xl/calcChain.xml><?xml version="1.0" encoding="utf-8"?>
<calcChain xmlns="http://schemas.openxmlformats.org/spreadsheetml/2006/main">
  <c r="AG90" i="1" l="1"/>
  <c r="AD30" i="5"/>
  <c r="N116" i="3"/>
  <c r="N274" i="2"/>
  <c r="N261" i="2"/>
  <c r="N248" i="2"/>
  <c r="N245" i="2"/>
  <c r="N243" i="2"/>
  <c r="N241" i="2"/>
  <c r="N240" i="2"/>
  <c r="N236" i="2"/>
  <c r="N235" i="2"/>
  <c r="N231" i="2"/>
  <c r="N228" i="2"/>
  <c r="N226" i="2"/>
  <c r="N224" i="2"/>
  <c r="N223" i="2"/>
  <c r="N222" i="2"/>
  <c r="N205" i="2"/>
  <c r="N206" i="2"/>
  <c r="N207" i="2"/>
  <c r="N208" i="2"/>
  <c r="N209" i="2"/>
  <c r="N210" i="2"/>
  <c r="N204" i="2"/>
  <c r="N202" i="2"/>
  <c r="N191" i="2"/>
  <c r="N179" i="2"/>
  <c r="N167" i="2"/>
  <c r="N163" i="2"/>
  <c r="N152" i="2"/>
  <c r="N148" i="2"/>
  <c r="N134" i="2"/>
  <c r="N121" i="2"/>
  <c r="K162" i="5" l="1"/>
  <c r="K233" i="5" l="1"/>
  <c r="K241" i="5"/>
  <c r="K276" i="5"/>
  <c r="K274" i="5"/>
  <c r="K272" i="5"/>
  <c r="K270" i="5"/>
  <c r="K268" i="5"/>
  <c r="K289" i="5"/>
  <c r="K287" i="5"/>
  <c r="K285" i="5"/>
  <c r="K283" i="5"/>
  <c r="K281" i="5"/>
  <c r="K251" i="5"/>
  <c r="K249" i="5"/>
  <c r="K247" i="5"/>
  <c r="K245" i="5"/>
  <c r="K243" i="5"/>
  <c r="K239" i="5"/>
  <c r="K237" i="5"/>
  <c r="K235" i="5"/>
  <c r="K223" i="5"/>
  <c r="K222" i="5" s="1"/>
  <c r="K217" i="5"/>
  <c r="K215" i="5"/>
  <c r="K213" i="5"/>
  <c r="K211" i="5"/>
  <c r="K200" i="5"/>
  <c r="K197" i="5"/>
  <c r="K195" i="5"/>
  <c r="K193" i="5"/>
  <c r="K191" i="5"/>
  <c r="K160" i="5"/>
  <c r="K158" i="5"/>
  <c r="K156" i="5"/>
  <c r="K154" i="5"/>
  <c r="K150" i="5"/>
  <c r="K147" i="5" s="1"/>
  <c r="K145" i="5"/>
  <c r="K143" i="5"/>
  <c r="K141" i="5"/>
  <c r="K139" i="5"/>
  <c r="K137" i="5"/>
  <c r="K132" i="5"/>
  <c r="K130" i="5"/>
  <c r="K128" i="5"/>
  <c r="K126" i="5"/>
  <c r="K124" i="5"/>
  <c r="K290" i="5" l="1"/>
  <c r="K278" i="5" s="1"/>
  <c r="K291" i="5" s="1"/>
  <c r="K277" i="5"/>
  <c r="K265" i="5" s="1"/>
  <c r="K146" i="5"/>
  <c r="K134" i="5" s="1"/>
  <c r="K161" i="5"/>
  <c r="K208" i="5" s="1"/>
  <c r="K258" i="5"/>
  <c r="K231" i="5" s="1"/>
  <c r="K198" i="5"/>
  <c r="K201" i="5" s="1"/>
  <c r="K133" i="5"/>
  <c r="K121" i="5" s="1"/>
  <c r="K218" i="5"/>
  <c r="K259" i="2"/>
  <c r="K272" i="2"/>
  <c r="K146" i="2"/>
  <c r="K257" i="2"/>
  <c r="K270" i="2"/>
  <c r="K268" i="2"/>
  <c r="K255" i="2"/>
  <c r="K253" i="2"/>
  <c r="K266" i="2"/>
  <c r="K251" i="2"/>
  <c r="K264" i="2"/>
  <c r="K234" i="2"/>
  <c r="K231" i="2" s="1"/>
  <c r="K219" i="2"/>
  <c r="K217" i="2"/>
  <c r="K215" i="2"/>
  <c r="K213" i="2"/>
  <c r="K198" i="2"/>
  <c r="K200" i="2"/>
  <c r="K196" i="2"/>
  <c r="K171" i="2"/>
  <c r="K161" i="2"/>
  <c r="K159" i="2"/>
  <c r="K157" i="2"/>
  <c r="K155" i="2"/>
  <c r="K194" i="2"/>
  <c r="K132" i="2"/>
  <c r="K130" i="2"/>
  <c r="K128" i="2"/>
  <c r="K126" i="2"/>
  <c r="K124" i="2"/>
  <c r="K138" i="2" s="1"/>
  <c r="K151" i="5" l="1"/>
  <c r="K260" i="2"/>
  <c r="K248" i="2" s="1"/>
  <c r="K273" i="2"/>
  <c r="K261" i="2" s="1"/>
  <c r="K205" i="5"/>
  <c r="K202" i="5"/>
  <c r="K188" i="5"/>
  <c r="K199" i="5" s="1"/>
  <c r="K203" i="5" s="1"/>
  <c r="K204" i="5" s="1"/>
  <c r="K274" i="2"/>
  <c r="AA274" i="2" s="1"/>
  <c r="K220" i="2"/>
  <c r="K201" i="2"/>
  <c r="K152" i="2"/>
  <c r="K210" i="2" s="1"/>
  <c r="W210" i="2" s="1"/>
  <c r="K165" i="2"/>
  <c r="K166" i="2" s="1"/>
  <c r="K173" i="2"/>
  <c r="K178" i="2" s="1"/>
  <c r="K167" i="2" s="1"/>
  <c r="Y163" i="2"/>
  <c r="Y152" i="2"/>
  <c r="K162" i="2"/>
  <c r="W148" i="2"/>
  <c r="K151" i="2"/>
  <c r="K144" i="2"/>
  <c r="K142" i="2"/>
  <c r="K140" i="2"/>
  <c r="K133" i="2"/>
  <c r="K134" i="2" s="1"/>
  <c r="K121" i="2"/>
  <c r="W121" i="2" s="1"/>
  <c r="AA148" i="2"/>
  <c r="W163" i="2"/>
  <c r="W179" i="2"/>
  <c r="Y179" i="2"/>
  <c r="AA179" i="2"/>
  <c r="W208" i="2"/>
  <c r="Y208" i="2"/>
  <c r="AA208" i="2"/>
  <c r="W209" i="2"/>
  <c r="Y209" i="2"/>
  <c r="AA209" i="2"/>
  <c r="W222" i="2"/>
  <c r="Y222" i="2"/>
  <c r="AA222" i="2"/>
  <c r="W223" i="2"/>
  <c r="Y223" i="2"/>
  <c r="AA223" i="2"/>
  <c r="W224" i="2"/>
  <c r="Y224" i="2"/>
  <c r="AA224" i="2"/>
  <c r="W226" i="2"/>
  <c r="Y226" i="2"/>
  <c r="AA226" i="2"/>
  <c r="W228" i="2"/>
  <c r="W227" i="2" s="1"/>
  <c r="Y228" i="2"/>
  <c r="Y227" i="2" s="1"/>
  <c r="AA228" i="2"/>
  <c r="AA227" i="2" s="1"/>
  <c r="W231" i="2"/>
  <c r="Y231" i="2"/>
  <c r="AA231" i="2"/>
  <c r="W235" i="2"/>
  <c r="Y235" i="2"/>
  <c r="AA235" i="2"/>
  <c r="W236" i="2"/>
  <c r="Y236" i="2"/>
  <c r="AA236" i="2"/>
  <c r="W240" i="2"/>
  <c r="Y240" i="2"/>
  <c r="AA240" i="2"/>
  <c r="W241" i="2"/>
  <c r="Y241" i="2"/>
  <c r="AA241" i="2"/>
  <c r="W243" i="2"/>
  <c r="Y243" i="2"/>
  <c r="AA243" i="2"/>
  <c r="W245" i="2"/>
  <c r="Y245" i="2"/>
  <c r="AA245" i="2"/>
  <c r="W248" i="2"/>
  <c r="Y248" i="2"/>
  <c r="AA248" i="2"/>
  <c r="Y274" i="2" l="1"/>
  <c r="W274" i="2"/>
  <c r="AA210" i="2"/>
  <c r="AA261" i="2"/>
  <c r="AA247" i="2" s="1"/>
  <c r="Y261" i="2"/>
  <c r="Y247" i="2" s="1"/>
  <c r="W261" i="2"/>
  <c r="W247" i="2" s="1"/>
  <c r="Y210" i="2"/>
  <c r="Y221" i="2"/>
  <c r="AA242" i="2"/>
  <c r="W221" i="2"/>
  <c r="Y242" i="2"/>
  <c r="W242" i="2"/>
  <c r="K191" i="2"/>
  <c r="K204" i="2"/>
  <c r="K207" i="2"/>
  <c r="K203" i="2"/>
  <c r="Y230" i="2"/>
  <c r="W230" i="2"/>
  <c r="AA230" i="2"/>
  <c r="AA221" i="2"/>
  <c r="K202" i="2"/>
  <c r="K206" i="2" s="1"/>
  <c r="Y167" i="2"/>
  <c r="W167" i="2"/>
  <c r="AA167" i="2"/>
  <c r="W152" i="2"/>
  <c r="K147" i="2"/>
  <c r="AA163" i="2"/>
  <c r="AA152" i="2"/>
  <c r="Y148" i="2"/>
  <c r="Y134" i="2"/>
  <c r="AA134" i="2"/>
  <c r="AA121" i="2"/>
  <c r="Y121" i="2"/>
  <c r="W134" i="2"/>
  <c r="W229" i="2" l="1"/>
  <c r="K205" i="2"/>
  <c r="AN205" i="2" s="1"/>
  <c r="W204" i="2"/>
  <c r="Y204" i="2"/>
  <c r="AA204" i="2"/>
  <c r="AA206" i="2"/>
  <c r="W206" i="2"/>
  <c r="Y206" i="2"/>
  <c r="Y229" i="2"/>
  <c r="AA191" i="2"/>
  <c r="W191" i="2"/>
  <c r="Y191" i="2"/>
  <c r="AA229" i="2"/>
  <c r="Y207" i="2"/>
  <c r="AA207" i="2"/>
  <c r="W207" i="2"/>
  <c r="Y202" i="2"/>
  <c r="W202" i="2"/>
  <c r="AA202" i="2"/>
  <c r="W120" i="2"/>
  <c r="AA120" i="2"/>
  <c r="Y120" i="2"/>
  <c r="AY91" i="1"/>
  <c r="AX91" i="1"/>
  <c r="AG153" i="4"/>
  <c r="AF153" i="4"/>
  <c r="AE153" i="4"/>
  <c r="AA153" i="4"/>
  <c r="Y153" i="4"/>
  <c r="W153" i="4"/>
  <c r="AI153" i="4"/>
  <c r="N153" i="4"/>
  <c r="AG152" i="4"/>
  <c r="AF152" i="4"/>
  <c r="AE152" i="4"/>
  <c r="AA152" i="4"/>
  <c r="AA151" i="4" s="1"/>
  <c r="Y152" i="4"/>
  <c r="Y151" i="4" s="1"/>
  <c r="W152" i="4"/>
  <c r="W151" i="4" s="1"/>
  <c r="AI152" i="4"/>
  <c r="N152" i="4"/>
  <c r="AG150" i="4"/>
  <c r="AF150" i="4"/>
  <c r="AE150" i="4"/>
  <c r="AA150" i="4"/>
  <c r="Y150" i="4"/>
  <c r="W150" i="4"/>
  <c r="AI150" i="4"/>
  <c r="N150" i="4"/>
  <c r="AG149" i="4"/>
  <c r="AF149" i="4"/>
  <c r="AE149" i="4"/>
  <c r="AA149" i="4"/>
  <c r="Y149" i="4"/>
  <c r="W149" i="4"/>
  <c r="AI149" i="4"/>
  <c r="N149" i="4"/>
  <c r="AG148" i="4"/>
  <c r="AF148" i="4"/>
  <c r="AE148" i="4"/>
  <c r="AA148" i="4"/>
  <c r="Y148" i="4"/>
  <c r="W148" i="4"/>
  <c r="AI148" i="4"/>
  <c r="N148" i="4"/>
  <c r="AG147" i="4"/>
  <c r="AF147" i="4"/>
  <c r="AE147" i="4"/>
  <c r="AA147" i="4"/>
  <c r="Y147" i="4"/>
  <c r="W147" i="4"/>
  <c r="AI147" i="4"/>
  <c r="N147" i="4"/>
  <c r="AG146" i="4"/>
  <c r="AF146" i="4"/>
  <c r="AE146" i="4"/>
  <c r="AA146" i="4"/>
  <c r="Y146" i="4"/>
  <c r="W146" i="4"/>
  <c r="AI146" i="4"/>
  <c r="N146" i="4"/>
  <c r="AG145" i="4"/>
  <c r="AF145" i="4"/>
  <c r="AE145" i="4"/>
  <c r="AA145" i="4"/>
  <c r="Y145" i="4"/>
  <c r="W145" i="4"/>
  <c r="AI145" i="4"/>
  <c r="N145" i="4"/>
  <c r="AG144" i="4"/>
  <c r="AF144" i="4"/>
  <c r="AE144" i="4"/>
  <c r="AA144" i="4"/>
  <c r="Y144" i="4"/>
  <c r="W144" i="4"/>
  <c r="AI144" i="4"/>
  <c r="N144" i="4"/>
  <c r="AG143" i="4"/>
  <c r="AF143" i="4"/>
  <c r="AE143" i="4"/>
  <c r="AA143" i="4"/>
  <c r="Y143" i="4"/>
  <c r="W143" i="4"/>
  <c r="AI143" i="4"/>
  <c r="N143" i="4"/>
  <c r="AG142" i="4"/>
  <c r="AF142" i="4"/>
  <c r="AE142" i="4"/>
  <c r="AA142" i="4"/>
  <c r="Y142" i="4"/>
  <c r="W142" i="4"/>
  <c r="AI142" i="4"/>
  <c r="N142" i="4"/>
  <c r="AG141" i="4"/>
  <c r="AF141" i="4"/>
  <c r="AE141" i="4"/>
  <c r="AA141" i="4"/>
  <c r="Y141" i="4"/>
  <c r="W141" i="4"/>
  <c r="AI141" i="4"/>
  <c r="N141" i="4"/>
  <c r="AG140" i="4"/>
  <c r="AF140" i="4"/>
  <c r="AE140" i="4"/>
  <c r="AA140" i="4"/>
  <c r="Y140" i="4"/>
  <c r="W140" i="4"/>
  <c r="AI140" i="4"/>
  <c r="N140" i="4"/>
  <c r="AG139" i="4"/>
  <c r="AF139" i="4"/>
  <c r="AE139" i="4"/>
  <c r="AA139" i="4"/>
  <c r="Y139" i="4"/>
  <c r="W139" i="4"/>
  <c r="AI139" i="4"/>
  <c r="N139" i="4"/>
  <c r="AG138" i="4"/>
  <c r="AF138" i="4"/>
  <c r="AE138" i="4"/>
  <c r="AA138" i="4"/>
  <c r="Y138" i="4"/>
  <c r="W138" i="4"/>
  <c r="AI138" i="4"/>
  <c r="N138" i="4"/>
  <c r="AG137" i="4"/>
  <c r="AF137" i="4"/>
  <c r="AE137" i="4"/>
  <c r="AA137" i="4"/>
  <c r="Y137" i="4"/>
  <c r="W137" i="4"/>
  <c r="AI137" i="4"/>
  <c r="N137" i="4"/>
  <c r="AG136" i="4"/>
  <c r="AF136" i="4"/>
  <c r="AE136" i="4"/>
  <c r="AA136" i="4"/>
  <c r="Y136" i="4"/>
  <c r="W136" i="4"/>
  <c r="AI136" i="4"/>
  <c r="N136" i="4"/>
  <c r="AG135" i="4"/>
  <c r="AF135" i="4"/>
  <c r="AE135" i="4"/>
  <c r="AA135" i="4"/>
  <c r="Y135" i="4"/>
  <c r="W135" i="4"/>
  <c r="AI135" i="4"/>
  <c r="N135" i="4"/>
  <c r="AG134" i="4"/>
  <c r="AF134" i="4"/>
  <c r="AE134" i="4"/>
  <c r="AA134" i="4"/>
  <c r="Y134" i="4"/>
  <c r="Y133" i="4" s="1"/>
  <c r="W134" i="4"/>
  <c r="AI134" i="4"/>
  <c r="AI133" i="4" s="1"/>
  <c r="N133" i="4" s="1"/>
  <c r="N91" i="4" s="1"/>
  <c r="N134" i="4"/>
  <c r="AG132" i="4"/>
  <c r="AF132" i="4"/>
  <c r="AE132" i="4"/>
  <c r="AA132" i="4"/>
  <c r="Y132" i="4"/>
  <c r="W132" i="4"/>
  <c r="AI132" i="4"/>
  <c r="N132" i="4"/>
  <c r="AG131" i="4"/>
  <c r="AF131" i="4"/>
  <c r="AE131" i="4"/>
  <c r="AA131" i="4"/>
  <c r="Y131" i="4"/>
  <c r="W131" i="4"/>
  <c r="AI131" i="4"/>
  <c r="N131" i="4"/>
  <c r="AG130" i="4"/>
  <c r="AF130" i="4"/>
  <c r="AE130" i="4"/>
  <c r="AA130" i="4"/>
  <c r="Y130" i="4"/>
  <c r="W130" i="4"/>
  <c r="AI130" i="4"/>
  <c r="N130" i="4"/>
  <c r="AG129" i="4"/>
  <c r="AF129" i="4"/>
  <c r="AE129" i="4"/>
  <c r="AA129" i="4"/>
  <c r="Y129" i="4"/>
  <c r="W129" i="4"/>
  <c r="AI129" i="4"/>
  <c r="N129" i="4"/>
  <c r="AG128" i="4"/>
  <c r="AF128" i="4"/>
  <c r="AE128" i="4"/>
  <c r="AA128" i="4"/>
  <c r="Y128" i="4"/>
  <c r="W128" i="4"/>
  <c r="AI128" i="4"/>
  <c r="N128" i="4"/>
  <c r="AG127" i="4"/>
  <c r="AF127" i="4"/>
  <c r="AE127" i="4"/>
  <c r="AA127" i="4"/>
  <c r="Y127" i="4"/>
  <c r="W127" i="4"/>
  <c r="AI127" i="4"/>
  <c r="N127" i="4"/>
  <c r="AG126" i="4"/>
  <c r="AF126" i="4"/>
  <c r="AE126" i="4"/>
  <c r="AA126" i="4"/>
  <c r="Y126" i="4"/>
  <c r="W126" i="4"/>
  <c r="AI126" i="4"/>
  <c r="N126" i="4"/>
  <c r="AG125" i="4"/>
  <c r="AF125" i="4"/>
  <c r="AE125" i="4"/>
  <c r="AA125" i="4"/>
  <c r="Y125" i="4"/>
  <c r="W125" i="4"/>
  <c r="AI125" i="4"/>
  <c r="N125" i="4"/>
  <c r="AG124" i="4"/>
  <c r="AF124" i="4"/>
  <c r="AE124" i="4"/>
  <c r="AA124" i="4"/>
  <c r="Y124" i="4"/>
  <c r="W124" i="4"/>
  <c r="AI124" i="4"/>
  <c r="N124" i="4"/>
  <c r="AG123" i="4"/>
  <c r="AF123" i="4"/>
  <c r="AE123" i="4"/>
  <c r="AA123" i="4"/>
  <c r="Y123" i="4"/>
  <c r="W123" i="4"/>
  <c r="AI123" i="4"/>
  <c r="N123" i="4"/>
  <c r="AG122" i="4"/>
  <c r="AF122" i="4"/>
  <c r="AE122" i="4"/>
  <c r="AA122" i="4"/>
  <c r="Y122" i="4"/>
  <c r="W122" i="4"/>
  <c r="AI122" i="4"/>
  <c r="N122" i="4"/>
  <c r="AG121" i="4"/>
  <c r="AF121" i="4"/>
  <c r="AE121" i="4"/>
  <c r="AA121" i="4"/>
  <c r="Y121" i="4"/>
  <c r="W121" i="4"/>
  <c r="AI121" i="4"/>
  <c r="N121" i="4"/>
  <c r="AG120" i="4"/>
  <c r="AF120" i="4"/>
  <c r="AE120" i="4"/>
  <c r="AA120" i="4"/>
  <c r="Y120" i="4"/>
  <c r="W120" i="4"/>
  <c r="AI120" i="4"/>
  <c r="N120" i="4"/>
  <c r="AG119" i="4"/>
  <c r="AF119" i="4"/>
  <c r="AE119" i="4"/>
  <c r="AA119" i="4"/>
  <c r="Y119" i="4"/>
  <c r="W119" i="4"/>
  <c r="AI119" i="4"/>
  <c r="N119" i="4"/>
  <c r="AG118" i="4"/>
  <c r="AF118" i="4"/>
  <c r="AE118" i="4"/>
  <c r="AA118" i="4"/>
  <c r="Y118" i="4"/>
  <c r="W118" i="4"/>
  <c r="AI118" i="4"/>
  <c r="N118" i="4"/>
  <c r="AG117" i="4"/>
  <c r="AF117" i="4"/>
  <c r="AE117" i="4"/>
  <c r="AA117" i="4"/>
  <c r="AA115" i="4" s="1"/>
  <c r="Y117" i="4"/>
  <c r="W117" i="4"/>
  <c r="AI117" i="4"/>
  <c r="N117" i="4"/>
  <c r="AG116" i="4"/>
  <c r="AF116" i="4"/>
  <c r="AE116" i="4"/>
  <c r="M33" i="4"/>
  <c r="AW91" i="1" s="1"/>
  <c r="AA116" i="4"/>
  <c r="Y116" i="4"/>
  <c r="Y115" i="4" s="1"/>
  <c r="W116" i="4"/>
  <c r="W115" i="4" s="1"/>
  <c r="AI116" i="4"/>
  <c r="N116" i="4"/>
  <c r="F107" i="4"/>
  <c r="F105" i="4"/>
  <c r="M28" i="4"/>
  <c r="AS91" i="1" s="1"/>
  <c r="F81" i="4"/>
  <c r="F79" i="4"/>
  <c r="O21" i="4"/>
  <c r="E21" i="4"/>
  <c r="M110" i="4" s="1"/>
  <c r="O20" i="4"/>
  <c r="O18" i="4"/>
  <c r="E18" i="4"/>
  <c r="M109" i="4" s="1"/>
  <c r="O17" i="4"/>
  <c r="O15" i="4"/>
  <c r="E15" i="4"/>
  <c r="F110" i="4" s="1"/>
  <c r="O14" i="4"/>
  <c r="O12" i="4"/>
  <c r="E12" i="4"/>
  <c r="F109" i="4" s="1"/>
  <c r="O11" i="4"/>
  <c r="O9" i="4"/>
  <c r="M107" i="4" s="1"/>
  <c r="F6" i="4"/>
  <c r="F104" i="4" s="1"/>
  <c r="AY90" i="1"/>
  <c r="AX90" i="1"/>
  <c r="AG291" i="5"/>
  <c r="AF291" i="5"/>
  <c r="AE291" i="5"/>
  <c r="AA291" i="5"/>
  <c r="Y291" i="5"/>
  <c r="W291" i="5"/>
  <c r="AI291" i="5"/>
  <c r="N291" i="5"/>
  <c r="AG278" i="5"/>
  <c r="AF278" i="5"/>
  <c r="AE278" i="5"/>
  <c r="AA278" i="5"/>
  <c r="Y278" i="5"/>
  <c r="W278" i="5"/>
  <c r="AI278" i="5"/>
  <c r="N278" i="5"/>
  <c r="AG265" i="5"/>
  <c r="AF265" i="5"/>
  <c r="AE265" i="5"/>
  <c r="AA265" i="5"/>
  <c r="AA264" i="5" s="1"/>
  <c r="Y265" i="5"/>
  <c r="Y264" i="5" s="1"/>
  <c r="W265" i="5"/>
  <c r="W264" i="5" s="1"/>
  <c r="AI265" i="5"/>
  <c r="AI264" i="5" s="1"/>
  <c r="N265" i="5"/>
  <c r="N264" i="5" s="1"/>
  <c r="AG262" i="5"/>
  <c r="AF262" i="5"/>
  <c r="AE262" i="5"/>
  <c r="AA262" i="5"/>
  <c r="AA261" i="5" s="1"/>
  <c r="Y262" i="5"/>
  <c r="W262" i="5"/>
  <c r="AI262" i="5"/>
  <c r="N262" i="5"/>
  <c r="N261" i="5" s="1"/>
  <c r="Y261" i="5"/>
  <c r="W261" i="5"/>
  <c r="AI261" i="5"/>
  <c r="AG260" i="5"/>
  <c r="AF260" i="5"/>
  <c r="AE260" i="5"/>
  <c r="AA260" i="5"/>
  <c r="Y260" i="5"/>
  <c r="W260" i="5"/>
  <c r="AI260" i="5"/>
  <c r="N260" i="5"/>
  <c r="AG259" i="5"/>
  <c r="AF259" i="5"/>
  <c r="AE259" i="5"/>
  <c r="AA259" i="5"/>
  <c r="Y259" i="5"/>
  <c r="W259" i="5"/>
  <c r="AI259" i="5"/>
  <c r="N259" i="5"/>
  <c r="AG231" i="5"/>
  <c r="AF231" i="5"/>
  <c r="AE231" i="5"/>
  <c r="AA231" i="5"/>
  <c r="Y231" i="5"/>
  <c r="W231" i="5"/>
  <c r="AI231" i="5"/>
  <c r="N231" i="5"/>
  <c r="AG230" i="5"/>
  <c r="AF230" i="5"/>
  <c r="AE230" i="5"/>
  <c r="AA230" i="5"/>
  <c r="Y230" i="5"/>
  <c r="W230" i="5"/>
  <c r="AI230" i="5"/>
  <c r="N230" i="5"/>
  <c r="AG229" i="5"/>
  <c r="AF229" i="5"/>
  <c r="AE229" i="5"/>
  <c r="AA229" i="5"/>
  <c r="Y229" i="5"/>
  <c r="Y228" i="5" s="1"/>
  <c r="W229" i="5"/>
  <c r="W228" i="5" s="1"/>
  <c r="AI229" i="5"/>
  <c r="N229" i="5"/>
  <c r="AG226" i="5"/>
  <c r="AF226" i="5"/>
  <c r="AE226" i="5"/>
  <c r="AA226" i="5"/>
  <c r="AA225" i="5" s="1"/>
  <c r="Y226" i="5"/>
  <c r="Y225" i="5" s="1"/>
  <c r="W226" i="5"/>
  <c r="W225" i="5" s="1"/>
  <c r="AI226" i="5"/>
  <c r="AI225" i="5" s="1"/>
  <c r="N226" i="5"/>
  <c r="N225" i="5" s="1"/>
  <c r="AG224" i="5"/>
  <c r="AF224" i="5"/>
  <c r="AE224" i="5"/>
  <c r="AA224" i="5"/>
  <c r="Y224" i="5"/>
  <c r="W224" i="5"/>
  <c r="AI224" i="5"/>
  <c r="N224" i="5"/>
  <c r="AG222" i="5"/>
  <c r="AF222" i="5"/>
  <c r="AE222" i="5"/>
  <c r="AA222" i="5"/>
  <c r="Y222" i="5"/>
  <c r="W222" i="5"/>
  <c r="AI222" i="5"/>
  <c r="N222" i="5"/>
  <c r="AG221" i="5"/>
  <c r="AF221" i="5"/>
  <c r="AE221" i="5"/>
  <c r="AA221" i="5"/>
  <c r="Y221" i="5"/>
  <c r="W221" i="5"/>
  <c r="AI221" i="5"/>
  <c r="N221" i="5"/>
  <c r="AG220" i="5"/>
  <c r="AF220" i="5"/>
  <c r="AE220" i="5"/>
  <c r="AA220" i="5"/>
  <c r="AA219" i="5" s="1"/>
  <c r="Y220" i="5"/>
  <c r="Y219" i="5" s="1"/>
  <c r="W220" i="5"/>
  <c r="AI220" i="5"/>
  <c r="AI219" i="5" s="1"/>
  <c r="N220" i="5"/>
  <c r="AG208" i="5"/>
  <c r="AF208" i="5"/>
  <c r="AE208" i="5"/>
  <c r="AA208" i="5"/>
  <c r="Y208" i="5"/>
  <c r="W208" i="5"/>
  <c r="AI208" i="5"/>
  <c r="N208" i="5"/>
  <c r="AG207" i="5"/>
  <c r="AF207" i="5"/>
  <c r="AE207" i="5"/>
  <c r="AA207" i="5"/>
  <c r="Y207" i="5"/>
  <c r="W207" i="5"/>
  <c r="AI207" i="5"/>
  <c r="N207" i="5"/>
  <c r="AG206" i="5"/>
  <c r="AF206" i="5"/>
  <c r="AE206" i="5"/>
  <c r="AA206" i="5"/>
  <c r="Y206" i="5"/>
  <c r="W206" i="5"/>
  <c r="AI206" i="5"/>
  <c r="N206" i="5"/>
  <c r="AG205" i="5"/>
  <c r="AF205" i="5"/>
  <c r="AE205" i="5"/>
  <c r="AA205" i="5"/>
  <c r="Y205" i="5"/>
  <c r="W205" i="5"/>
  <c r="AI205" i="5"/>
  <c r="N205" i="5"/>
  <c r="AG203" i="5"/>
  <c r="AF203" i="5"/>
  <c r="AE203" i="5"/>
  <c r="AA203" i="5"/>
  <c r="Y203" i="5"/>
  <c r="W203" i="5"/>
  <c r="AI203" i="5"/>
  <c r="N203" i="5"/>
  <c r="AG202" i="5"/>
  <c r="AF202" i="5"/>
  <c r="AE202" i="5"/>
  <c r="AA202" i="5"/>
  <c r="Y202" i="5"/>
  <c r="W202" i="5"/>
  <c r="AI202" i="5"/>
  <c r="N202" i="5"/>
  <c r="AG201" i="5"/>
  <c r="AF201" i="5"/>
  <c r="AE201" i="5"/>
  <c r="AA201" i="5"/>
  <c r="Y201" i="5"/>
  <c r="W201" i="5"/>
  <c r="AI201" i="5"/>
  <c r="N201" i="5"/>
  <c r="AG199" i="5"/>
  <c r="AF199" i="5"/>
  <c r="AE199" i="5"/>
  <c r="AA199" i="5"/>
  <c r="Y199" i="5"/>
  <c r="W199" i="5"/>
  <c r="AI199" i="5"/>
  <c r="N199" i="5"/>
  <c r="AG188" i="5"/>
  <c r="AF188" i="5"/>
  <c r="AE188" i="5"/>
  <c r="AA188" i="5"/>
  <c r="Y188" i="5"/>
  <c r="Y187" i="5" s="1"/>
  <c r="W188" i="5"/>
  <c r="AI188" i="5"/>
  <c r="N188" i="5"/>
  <c r="N187" i="5" s="1"/>
  <c r="AG176" i="5"/>
  <c r="AF176" i="5"/>
  <c r="AE176" i="5"/>
  <c r="AA176" i="5"/>
  <c r="Y176" i="5"/>
  <c r="W176" i="5"/>
  <c r="AI176" i="5"/>
  <c r="N176" i="5"/>
  <c r="AG165" i="5"/>
  <c r="AF165" i="5"/>
  <c r="AE165" i="5"/>
  <c r="AA165" i="5"/>
  <c r="Y165" i="5"/>
  <c r="W165" i="5"/>
  <c r="AI165" i="5"/>
  <c r="N165" i="5"/>
  <c r="AG162" i="5"/>
  <c r="AF162" i="5"/>
  <c r="AE162" i="5"/>
  <c r="AA162" i="5"/>
  <c r="Y162" i="5"/>
  <c r="W162" i="5"/>
  <c r="AI162" i="5"/>
  <c r="N162" i="5"/>
  <c r="AG151" i="5"/>
  <c r="AF151" i="5"/>
  <c r="AE151" i="5"/>
  <c r="AA151" i="5"/>
  <c r="Y151" i="5"/>
  <c r="W151" i="5"/>
  <c r="AI151" i="5"/>
  <c r="N151" i="5"/>
  <c r="AG147" i="5"/>
  <c r="AF147" i="5"/>
  <c r="AE147" i="5"/>
  <c r="AA147" i="5"/>
  <c r="Y147" i="5"/>
  <c r="W147" i="5"/>
  <c r="AI147" i="5"/>
  <c r="N147" i="5"/>
  <c r="AG134" i="5"/>
  <c r="AF134" i="5"/>
  <c r="AE134" i="5"/>
  <c r="AA134" i="5"/>
  <c r="Y134" i="5"/>
  <c r="W134" i="5"/>
  <c r="AI134" i="5"/>
  <c r="N134" i="5"/>
  <c r="AG121" i="5"/>
  <c r="AF121" i="5"/>
  <c r="AE121" i="5"/>
  <c r="AW90" i="1"/>
  <c r="AA121" i="5"/>
  <c r="Y121" i="5"/>
  <c r="W121" i="5"/>
  <c r="AI121" i="5"/>
  <c r="N121" i="5"/>
  <c r="M115" i="5"/>
  <c r="M114" i="5"/>
  <c r="F114" i="5"/>
  <c r="F112" i="5"/>
  <c r="F110" i="5"/>
  <c r="M28" i="5"/>
  <c r="AS90" i="1" s="1"/>
  <c r="M84" i="5"/>
  <c r="M83" i="5"/>
  <c r="F83" i="5"/>
  <c r="F81" i="5"/>
  <c r="F79" i="5"/>
  <c r="O15" i="5"/>
  <c r="E15" i="5"/>
  <c r="F115" i="5" s="1"/>
  <c r="O14" i="5"/>
  <c r="O9" i="5"/>
  <c r="M112" i="5" s="1"/>
  <c r="F6" i="5"/>
  <c r="F109" i="5" s="1"/>
  <c r="AY89" i="1"/>
  <c r="AX89" i="1"/>
  <c r="AR153" i="3"/>
  <c r="AQ153" i="3"/>
  <c r="AP153" i="3"/>
  <c r="AO153" i="3"/>
  <c r="AA153" i="3"/>
  <c r="Y153" i="3"/>
  <c r="W153" i="3"/>
  <c r="AT153" i="3"/>
  <c r="N153" i="3"/>
  <c r="AN153" i="3" s="1"/>
  <c r="AR152" i="3"/>
  <c r="AQ152" i="3"/>
  <c r="AP152" i="3"/>
  <c r="AO152" i="3"/>
  <c r="AA152" i="3"/>
  <c r="AA151" i="3" s="1"/>
  <c r="Y152" i="3"/>
  <c r="W152" i="3"/>
  <c r="AT152" i="3"/>
  <c r="N152" i="3"/>
  <c r="AR150" i="3"/>
  <c r="AQ150" i="3"/>
  <c r="AP150" i="3"/>
  <c r="AO150" i="3"/>
  <c r="AA150" i="3"/>
  <c r="Y150" i="3"/>
  <c r="W150" i="3"/>
  <c r="AT150" i="3"/>
  <c r="N150" i="3"/>
  <c r="AN150" i="3" s="1"/>
  <c r="AR149" i="3"/>
  <c r="AQ149" i="3"/>
  <c r="AP149" i="3"/>
  <c r="AO149" i="3"/>
  <c r="AA149" i="3"/>
  <c r="Y149" i="3"/>
  <c r="W149" i="3"/>
  <c r="AT149" i="3"/>
  <c r="N149" i="3"/>
  <c r="AN149" i="3" s="1"/>
  <c r="AR148" i="3"/>
  <c r="AQ148" i="3"/>
  <c r="AP148" i="3"/>
  <c r="AO148" i="3"/>
  <c r="AA148" i="3"/>
  <c r="Y148" i="3"/>
  <c r="W148" i="3"/>
  <c r="AT148" i="3"/>
  <c r="N148" i="3"/>
  <c r="AN148" i="3" s="1"/>
  <c r="AR147" i="3"/>
  <c r="AQ147" i="3"/>
  <c r="AP147" i="3"/>
  <c r="AO147" i="3"/>
  <c r="AA147" i="3"/>
  <c r="Y147" i="3"/>
  <c r="W147" i="3"/>
  <c r="AT147" i="3"/>
  <c r="N147" i="3"/>
  <c r="AN147" i="3" s="1"/>
  <c r="AR146" i="3"/>
  <c r="AQ146" i="3"/>
  <c r="AP146" i="3"/>
  <c r="AO146" i="3"/>
  <c r="AA146" i="3"/>
  <c r="Y146" i="3"/>
  <c r="W146" i="3"/>
  <c r="AT146" i="3"/>
  <c r="N146" i="3"/>
  <c r="AN146" i="3" s="1"/>
  <c r="AR145" i="3"/>
  <c r="AQ145" i="3"/>
  <c r="AP145" i="3"/>
  <c r="AO145" i="3"/>
  <c r="AA145" i="3"/>
  <c r="Y145" i="3"/>
  <c r="W145" i="3"/>
  <c r="AT145" i="3"/>
  <c r="N145" i="3"/>
  <c r="AN145" i="3" s="1"/>
  <c r="AR144" i="3"/>
  <c r="AQ144" i="3"/>
  <c r="AP144" i="3"/>
  <c r="AO144" i="3"/>
  <c r="AA144" i="3"/>
  <c r="Y144" i="3"/>
  <c r="W144" i="3"/>
  <c r="AT144" i="3"/>
  <c r="N144" i="3"/>
  <c r="AN144" i="3" s="1"/>
  <c r="AR143" i="3"/>
  <c r="AQ143" i="3"/>
  <c r="AP143" i="3"/>
  <c r="AO143" i="3"/>
  <c r="AA143" i="3"/>
  <c r="Y143" i="3"/>
  <c r="W143" i="3"/>
  <c r="AT143" i="3"/>
  <c r="N143" i="3"/>
  <c r="AN143" i="3" s="1"/>
  <c r="AR142" i="3"/>
  <c r="AQ142" i="3"/>
  <c r="AP142" i="3"/>
  <c r="AO142" i="3"/>
  <c r="AA142" i="3"/>
  <c r="Y142" i="3"/>
  <c r="W142" i="3"/>
  <c r="AT142" i="3"/>
  <c r="N142" i="3"/>
  <c r="AN142" i="3" s="1"/>
  <c r="AR141" i="3"/>
  <c r="AQ141" i="3"/>
  <c r="AP141" i="3"/>
  <c r="AO141" i="3"/>
  <c r="AA141" i="3"/>
  <c r="Y141" i="3"/>
  <c r="W141" i="3"/>
  <c r="AT141" i="3"/>
  <c r="N141" i="3"/>
  <c r="AN141" i="3" s="1"/>
  <c r="AR140" i="3"/>
  <c r="AQ140" i="3"/>
  <c r="AP140" i="3"/>
  <c r="AO140" i="3"/>
  <c r="AA140" i="3"/>
  <c r="Y140" i="3"/>
  <c r="W140" i="3"/>
  <c r="AT140" i="3"/>
  <c r="N140" i="3"/>
  <c r="AN140" i="3" s="1"/>
  <c r="AR139" i="3"/>
  <c r="AQ139" i="3"/>
  <c r="AP139" i="3"/>
  <c r="AO139" i="3"/>
  <c r="AA139" i="3"/>
  <c r="Y139" i="3"/>
  <c r="W139" i="3"/>
  <c r="AT139" i="3"/>
  <c r="N139" i="3"/>
  <c r="AN139" i="3" s="1"/>
  <c r="AR138" i="3"/>
  <c r="AQ138" i="3"/>
  <c r="AP138" i="3"/>
  <c r="AO138" i="3"/>
  <c r="AA138" i="3"/>
  <c r="Y138" i="3"/>
  <c r="W138" i="3"/>
  <c r="AT138" i="3"/>
  <c r="N138" i="3"/>
  <c r="AN138" i="3" s="1"/>
  <c r="AR137" i="3"/>
  <c r="AQ137" i="3"/>
  <c r="AP137" i="3"/>
  <c r="AO137" i="3"/>
  <c r="AA137" i="3"/>
  <c r="Y137" i="3"/>
  <c r="W137" i="3"/>
  <c r="AT137" i="3"/>
  <c r="N137" i="3"/>
  <c r="AN137" i="3" s="1"/>
  <c r="AR136" i="3"/>
  <c r="AQ136" i="3"/>
  <c r="AP136" i="3"/>
  <c r="AO136" i="3"/>
  <c r="AA136" i="3"/>
  <c r="Y136" i="3"/>
  <c r="W136" i="3"/>
  <c r="AT136" i="3"/>
  <c r="N136" i="3"/>
  <c r="AN136" i="3" s="1"/>
  <c r="AR135" i="3"/>
  <c r="AQ135" i="3"/>
  <c r="AP135" i="3"/>
  <c r="AO135" i="3"/>
  <c r="AA135" i="3"/>
  <c r="Y135" i="3"/>
  <c r="W135" i="3"/>
  <c r="AT135" i="3"/>
  <c r="N135" i="3"/>
  <c r="AN135" i="3" s="1"/>
  <c r="AR134" i="3"/>
  <c r="AQ134" i="3"/>
  <c r="AP134" i="3"/>
  <c r="AO134" i="3"/>
  <c r="AA134" i="3"/>
  <c r="Y134" i="3"/>
  <c r="W134" i="3"/>
  <c r="AT134" i="3"/>
  <c r="N134" i="3"/>
  <c r="AR132" i="3"/>
  <c r="AQ132" i="3"/>
  <c r="AP132" i="3"/>
  <c r="AO132" i="3"/>
  <c r="AA132" i="3"/>
  <c r="Y132" i="3"/>
  <c r="W132" i="3"/>
  <c r="AT132" i="3"/>
  <c r="N132" i="3"/>
  <c r="AN132" i="3" s="1"/>
  <c r="AR131" i="3"/>
  <c r="AQ131" i="3"/>
  <c r="AP131" i="3"/>
  <c r="AO131" i="3"/>
  <c r="AA131" i="3"/>
  <c r="Y131" i="3"/>
  <c r="W131" i="3"/>
  <c r="AT131" i="3"/>
  <c r="N131" i="3"/>
  <c r="AN131" i="3" s="1"/>
  <c r="AR130" i="3"/>
  <c r="AQ130" i="3"/>
  <c r="AP130" i="3"/>
  <c r="AO130" i="3"/>
  <c r="AA130" i="3"/>
  <c r="Y130" i="3"/>
  <c r="W130" i="3"/>
  <c r="AT130" i="3"/>
  <c r="N130" i="3"/>
  <c r="AN130" i="3" s="1"/>
  <c r="AR129" i="3"/>
  <c r="AQ129" i="3"/>
  <c r="AP129" i="3"/>
  <c r="AO129" i="3"/>
  <c r="AA129" i="3"/>
  <c r="Y129" i="3"/>
  <c r="W129" i="3"/>
  <c r="AT129" i="3"/>
  <c r="N129" i="3"/>
  <c r="AN129" i="3" s="1"/>
  <c r="AR128" i="3"/>
  <c r="AQ128" i="3"/>
  <c r="AP128" i="3"/>
  <c r="AO128" i="3"/>
  <c r="AA128" i="3"/>
  <c r="Y128" i="3"/>
  <c r="W128" i="3"/>
  <c r="AT128" i="3"/>
  <c r="N128" i="3"/>
  <c r="AN128" i="3" s="1"/>
  <c r="AR127" i="3"/>
  <c r="AQ127" i="3"/>
  <c r="AP127" i="3"/>
  <c r="AO127" i="3"/>
  <c r="AA127" i="3"/>
  <c r="Y127" i="3"/>
  <c r="W127" i="3"/>
  <c r="AT127" i="3"/>
  <c r="N127" i="3"/>
  <c r="AN127" i="3" s="1"/>
  <c r="AR126" i="3"/>
  <c r="AQ126" i="3"/>
  <c r="AP126" i="3"/>
  <c r="AO126" i="3"/>
  <c r="AA126" i="3"/>
  <c r="Y126" i="3"/>
  <c r="W126" i="3"/>
  <c r="AT126" i="3"/>
  <c r="N126" i="3"/>
  <c r="AN126" i="3" s="1"/>
  <c r="AR125" i="3"/>
  <c r="AQ125" i="3"/>
  <c r="AP125" i="3"/>
  <c r="AO125" i="3"/>
  <c r="AA125" i="3"/>
  <c r="Y125" i="3"/>
  <c r="W125" i="3"/>
  <c r="AT125" i="3"/>
  <c r="N125" i="3"/>
  <c r="AN125" i="3" s="1"/>
  <c r="AR124" i="3"/>
  <c r="AQ124" i="3"/>
  <c r="AP124" i="3"/>
  <c r="AO124" i="3"/>
  <c r="AA124" i="3"/>
  <c r="Y124" i="3"/>
  <c r="W124" i="3"/>
  <c r="AT124" i="3"/>
  <c r="N124" i="3"/>
  <c r="AN124" i="3" s="1"/>
  <c r="AR123" i="3"/>
  <c r="AQ123" i="3"/>
  <c r="AP123" i="3"/>
  <c r="AO123" i="3"/>
  <c r="AA123" i="3"/>
  <c r="Y123" i="3"/>
  <c r="W123" i="3"/>
  <c r="AT123" i="3"/>
  <c r="N123" i="3"/>
  <c r="AN123" i="3" s="1"/>
  <c r="AR122" i="3"/>
  <c r="AQ122" i="3"/>
  <c r="AP122" i="3"/>
  <c r="AO122" i="3"/>
  <c r="AA122" i="3"/>
  <c r="Y122" i="3"/>
  <c r="W122" i="3"/>
  <c r="AT122" i="3"/>
  <c r="N122" i="3"/>
  <c r="AN122" i="3" s="1"/>
  <c r="AR121" i="3"/>
  <c r="AQ121" i="3"/>
  <c r="AP121" i="3"/>
  <c r="AO121" i="3"/>
  <c r="AA121" i="3"/>
  <c r="Y121" i="3"/>
  <c r="W121" i="3"/>
  <c r="AT121" i="3"/>
  <c r="N121" i="3"/>
  <c r="AN121" i="3" s="1"/>
  <c r="AR120" i="3"/>
  <c r="AQ120" i="3"/>
  <c r="AP120" i="3"/>
  <c r="AO120" i="3"/>
  <c r="AA120" i="3"/>
  <c r="Y120" i="3"/>
  <c r="W120" i="3"/>
  <c r="AT120" i="3"/>
  <c r="N120" i="3"/>
  <c r="AN120" i="3"/>
  <c r="AR119" i="3"/>
  <c r="AQ119" i="3"/>
  <c r="AP119" i="3"/>
  <c r="AO119" i="3"/>
  <c r="AA119" i="3"/>
  <c r="Y119" i="3"/>
  <c r="W119" i="3"/>
  <c r="AT119" i="3"/>
  <c r="N119" i="3"/>
  <c r="AN119" i="3" s="1"/>
  <c r="AR118" i="3"/>
  <c r="AQ118" i="3"/>
  <c r="AP118" i="3"/>
  <c r="AO118" i="3"/>
  <c r="AA118" i="3"/>
  <c r="Y118" i="3"/>
  <c r="W118" i="3"/>
  <c r="AT118" i="3"/>
  <c r="N118" i="3"/>
  <c r="AN118" i="3" s="1"/>
  <c r="AR117" i="3"/>
  <c r="AQ117" i="3"/>
  <c r="AP117" i="3"/>
  <c r="AO117" i="3"/>
  <c r="AA117" i="3"/>
  <c r="Y117" i="3"/>
  <c r="W117" i="3"/>
  <c r="AT117" i="3"/>
  <c r="N117" i="3"/>
  <c r="AN117" i="3" s="1"/>
  <c r="AR116" i="3"/>
  <c r="AQ116" i="3"/>
  <c r="AP116" i="3"/>
  <c r="AO116" i="3"/>
  <c r="AA116" i="3"/>
  <c r="Y116" i="3"/>
  <c r="W116" i="3"/>
  <c r="AT116" i="3"/>
  <c r="F107" i="3"/>
  <c r="F105" i="3"/>
  <c r="M28" i="3"/>
  <c r="AS89" i="1" s="1"/>
  <c r="F81" i="3"/>
  <c r="F79" i="3"/>
  <c r="O21" i="3"/>
  <c r="E21" i="3"/>
  <c r="M110" i="3" s="1"/>
  <c r="O20" i="3"/>
  <c r="O18" i="3"/>
  <c r="E18" i="3"/>
  <c r="M109" i="3" s="1"/>
  <c r="O17" i="3"/>
  <c r="O15" i="3"/>
  <c r="E15" i="3"/>
  <c r="F110" i="3" s="1"/>
  <c r="O14" i="3"/>
  <c r="O12" i="3"/>
  <c r="E12" i="3"/>
  <c r="F109" i="3" s="1"/>
  <c r="O11" i="3"/>
  <c r="O9" i="3"/>
  <c r="M107" i="3" s="1"/>
  <c r="F6" i="3"/>
  <c r="F104" i="3" s="1"/>
  <c r="AY88" i="1"/>
  <c r="AX88" i="1"/>
  <c r="AR274" i="2"/>
  <c r="AQ274" i="2"/>
  <c r="AP274" i="2"/>
  <c r="AO274" i="2"/>
  <c r="AT274" i="2"/>
  <c r="AR261" i="2"/>
  <c r="AQ261" i="2"/>
  <c r="AP261" i="2"/>
  <c r="AO261" i="2"/>
  <c r="AT261" i="2"/>
  <c r="AN261" i="2"/>
  <c r="AR248" i="2"/>
  <c r="AQ248" i="2"/>
  <c r="AP248" i="2"/>
  <c r="AO248" i="2"/>
  <c r="AT248" i="2"/>
  <c r="AN248" i="2"/>
  <c r="AR245" i="2"/>
  <c r="AQ245" i="2"/>
  <c r="AP245" i="2"/>
  <c r="AO245" i="2"/>
  <c r="AT245" i="2"/>
  <c r="AN245" i="2"/>
  <c r="AR243" i="2"/>
  <c r="AQ243" i="2"/>
  <c r="AP243" i="2"/>
  <c r="AO243" i="2"/>
  <c r="AT243" i="2"/>
  <c r="N242" i="2"/>
  <c r="AR241" i="2"/>
  <c r="AQ241" i="2"/>
  <c r="AP241" i="2"/>
  <c r="AO241" i="2"/>
  <c r="AT241" i="2"/>
  <c r="AN241" i="2"/>
  <c r="AR240" i="2"/>
  <c r="AQ240" i="2"/>
  <c r="AP240" i="2"/>
  <c r="AO240" i="2"/>
  <c r="AT240" i="2"/>
  <c r="AN240" i="2"/>
  <c r="AR236" i="2"/>
  <c r="AQ236" i="2"/>
  <c r="AP236" i="2"/>
  <c r="AO236" i="2"/>
  <c r="AT236" i="2"/>
  <c r="AN236" i="2"/>
  <c r="AR235" i="2"/>
  <c r="AQ235" i="2"/>
  <c r="AP235" i="2"/>
  <c r="AO235" i="2"/>
  <c r="AT235" i="2"/>
  <c r="AN235" i="2"/>
  <c r="AR231" i="2"/>
  <c r="AQ231" i="2"/>
  <c r="AP231" i="2"/>
  <c r="AO231" i="2"/>
  <c r="AT231" i="2"/>
  <c r="AR228" i="2"/>
  <c r="AQ228" i="2"/>
  <c r="AP228" i="2"/>
  <c r="AO228" i="2"/>
  <c r="AT228" i="2"/>
  <c r="AT227" i="2" s="1"/>
  <c r="AR226" i="2"/>
  <c r="AQ226" i="2"/>
  <c r="AP226" i="2"/>
  <c r="AO226" i="2"/>
  <c r="AT226" i="2"/>
  <c r="AN226" i="2"/>
  <c r="AR224" i="2"/>
  <c r="AQ224" i="2"/>
  <c r="AP224" i="2"/>
  <c r="AO224" i="2"/>
  <c r="AT224" i="2"/>
  <c r="AN224" i="2"/>
  <c r="AR223" i="2"/>
  <c r="AQ223" i="2"/>
  <c r="AP223" i="2"/>
  <c r="AO223" i="2"/>
  <c r="AT223" i="2"/>
  <c r="AN223" i="2"/>
  <c r="AR222" i="2"/>
  <c r="AQ222" i="2"/>
  <c r="AP222" i="2"/>
  <c r="AO222" i="2"/>
  <c r="AT222" i="2"/>
  <c r="AR210" i="2"/>
  <c r="AQ210" i="2"/>
  <c r="AP210" i="2"/>
  <c r="AO210" i="2"/>
  <c r="AT210" i="2"/>
  <c r="AN210" i="2"/>
  <c r="AR209" i="2"/>
  <c r="AQ209" i="2"/>
  <c r="AP209" i="2"/>
  <c r="AO209" i="2"/>
  <c r="AT209" i="2"/>
  <c r="AN209" i="2"/>
  <c r="AR208" i="2"/>
  <c r="AQ208" i="2"/>
  <c r="AP208" i="2"/>
  <c r="AO208" i="2"/>
  <c r="AT208" i="2"/>
  <c r="AN208" i="2"/>
  <c r="AR207" i="2"/>
  <c r="AQ207" i="2"/>
  <c r="AP207" i="2"/>
  <c r="AO207" i="2"/>
  <c r="AT207" i="2"/>
  <c r="AN207" i="2"/>
  <c r="AR206" i="2"/>
  <c r="AQ206" i="2"/>
  <c r="AP206" i="2"/>
  <c r="AO206" i="2"/>
  <c r="AT206" i="2"/>
  <c r="AN206" i="2"/>
  <c r="AR205" i="2"/>
  <c r="AQ205" i="2"/>
  <c r="AP205" i="2"/>
  <c r="AO205" i="2"/>
  <c r="AT205" i="2"/>
  <c r="AR204" i="2"/>
  <c r="AQ204" i="2"/>
  <c r="AP204" i="2"/>
  <c r="AO204" i="2"/>
  <c r="AT204" i="2"/>
  <c r="AN204" i="2"/>
  <c r="AR202" i="2"/>
  <c r="AQ202" i="2"/>
  <c r="AP202" i="2"/>
  <c r="AO202" i="2"/>
  <c r="AT202" i="2"/>
  <c r="AN202" i="2"/>
  <c r="AR191" i="2"/>
  <c r="AQ191" i="2"/>
  <c r="AP191" i="2"/>
  <c r="AO191" i="2"/>
  <c r="AT191" i="2"/>
  <c r="AR179" i="2"/>
  <c r="AQ179" i="2"/>
  <c r="AP179" i="2"/>
  <c r="AO179" i="2"/>
  <c r="AT179" i="2"/>
  <c r="AN179" i="2"/>
  <c r="AR167" i="2"/>
  <c r="AQ167" i="2"/>
  <c r="AP167" i="2"/>
  <c r="AO167" i="2"/>
  <c r="AT167" i="2"/>
  <c r="AR163" i="2"/>
  <c r="AQ163" i="2"/>
  <c r="AP163" i="2"/>
  <c r="AO163" i="2"/>
  <c r="AT163" i="2"/>
  <c r="AR152" i="2"/>
  <c r="AQ152" i="2"/>
  <c r="AP152" i="2"/>
  <c r="AO152" i="2"/>
  <c r="AT152" i="2"/>
  <c r="AR148" i="2"/>
  <c r="AQ148" i="2"/>
  <c r="AP148" i="2"/>
  <c r="AO148" i="2"/>
  <c r="AT148" i="2"/>
  <c r="AR134" i="2"/>
  <c r="AQ134" i="2"/>
  <c r="AP134" i="2"/>
  <c r="AO134" i="2"/>
  <c r="AT134" i="2"/>
  <c r="AR121" i="2"/>
  <c r="AQ121" i="2"/>
  <c r="AP121" i="2"/>
  <c r="AO121" i="2"/>
  <c r="AT121" i="2"/>
  <c r="M115" i="2"/>
  <c r="M114" i="2"/>
  <c r="F114" i="2"/>
  <c r="F112" i="2"/>
  <c r="F110" i="2"/>
  <c r="M28" i="2"/>
  <c r="AS88" i="1" s="1"/>
  <c r="M84" i="2"/>
  <c r="M83" i="2"/>
  <c r="F83" i="2"/>
  <c r="F81" i="2"/>
  <c r="F79" i="2"/>
  <c r="O15" i="2"/>
  <c r="E15" i="2"/>
  <c r="F115" i="2" s="1"/>
  <c r="O14" i="2"/>
  <c r="M112" i="2"/>
  <c r="F6" i="2"/>
  <c r="F109" i="2" s="1"/>
  <c r="AK27" i="1"/>
  <c r="AM83" i="1"/>
  <c r="L83" i="1"/>
  <c r="AM82" i="1"/>
  <c r="L82" i="1"/>
  <c r="AM80" i="1"/>
  <c r="L80" i="1"/>
  <c r="L78" i="1"/>
  <c r="L77" i="1"/>
  <c r="AI151" i="4" l="1"/>
  <c r="N151" i="4" s="1"/>
  <c r="N92" i="4" s="1"/>
  <c r="H36" i="4"/>
  <c r="BD91" i="1" s="1"/>
  <c r="AN152" i="3"/>
  <c r="N151" i="3"/>
  <c r="AN134" i="3"/>
  <c r="N133" i="3"/>
  <c r="W133" i="3"/>
  <c r="AN116" i="3"/>
  <c r="N115" i="3"/>
  <c r="Y115" i="3"/>
  <c r="Y114" i="3" s="1"/>
  <c r="Y113" i="3" s="1"/>
  <c r="W151" i="3"/>
  <c r="N120" i="5"/>
  <c r="AN191" i="2"/>
  <c r="N190" i="2"/>
  <c r="AN231" i="2"/>
  <c r="N230" i="2"/>
  <c r="AN222" i="2"/>
  <c r="N221" i="2"/>
  <c r="AN228" i="2"/>
  <c r="N227" i="2"/>
  <c r="N93" i="2" s="1"/>
  <c r="AN243" i="2"/>
  <c r="N120" i="2"/>
  <c r="Y205" i="2"/>
  <c r="Y190" i="2" s="1"/>
  <c r="Y119" i="2" s="1"/>
  <c r="Y118" i="2" s="1"/>
  <c r="W205" i="2"/>
  <c r="W190" i="2" s="1"/>
  <c r="W119" i="2" s="1"/>
  <c r="W118" i="2" s="1"/>
  <c r="AA205" i="2"/>
  <c r="AA190" i="2" s="1"/>
  <c r="AA119" i="2" s="1"/>
  <c r="AA118" i="2" s="1"/>
  <c r="W120" i="5"/>
  <c r="N93" i="5"/>
  <c r="N228" i="5"/>
  <c r="N227" i="5" s="1"/>
  <c r="N96" i="5"/>
  <c r="N97" i="5"/>
  <c r="F78" i="5"/>
  <c r="F84" i="5"/>
  <c r="N219" i="5"/>
  <c r="N92" i="5" s="1"/>
  <c r="W133" i="4"/>
  <c r="AA133" i="4"/>
  <c r="H34" i="4"/>
  <c r="BB91" i="1" s="1"/>
  <c r="W227" i="5"/>
  <c r="AI228" i="5"/>
  <c r="AA228" i="5"/>
  <c r="AA227" i="5" s="1"/>
  <c r="H34" i="5"/>
  <c r="BB90" i="1" s="1"/>
  <c r="W219" i="5"/>
  <c r="H36" i="5"/>
  <c r="BD90" i="1" s="1"/>
  <c r="AI187" i="5"/>
  <c r="N91" i="5" s="1"/>
  <c r="AA187" i="5"/>
  <c r="W187" i="5"/>
  <c r="Y120" i="5"/>
  <c r="Y119" i="5" s="1"/>
  <c r="AA120" i="5"/>
  <c r="AN274" i="2"/>
  <c r="N247" i="2"/>
  <c r="H36" i="3"/>
  <c r="BD89" i="1" s="1"/>
  <c r="W115" i="3"/>
  <c r="W114" i="3" s="1"/>
  <c r="W113" i="3" s="1"/>
  <c r="AU89" i="1" s="1"/>
  <c r="H34" i="3"/>
  <c r="BB89" i="1" s="1"/>
  <c r="M33" i="3"/>
  <c r="AW89" i="1" s="1"/>
  <c r="AA115" i="3"/>
  <c r="AT190" i="2"/>
  <c r="AN167" i="2"/>
  <c r="AN152" i="2"/>
  <c r="AN148" i="2"/>
  <c r="AN121" i="2"/>
  <c r="AN134" i="2"/>
  <c r="AN163" i="2"/>
  <c r="H34" i="2"/>
  <c r="BB88" i="1" s="1"/>
  <c r="AT221" i="2"/>
  <c r="AT230" i="2"/>
  <c r="H36" i="2"/>
  <c r="BD88" i="1" s="1"/>
  <c r="F84" i="2"/>
  <c r="AT242" i="2"/>
  <c r="AT247" i="2"/>
  <c r="Y227" i="5"/>
  <c r="Y114" i="4"/>
  <c r="Y113" i="4" s="1"/>
  <c r="AS87" i="1"/>
  <c r="M81" i="2"/>
  <c r="H35" i="2"/>
  <c r="BC88" i="1" s="1"/>
  <c r="M81" i="3"/>
  <c r="F83" i="3"/>
  <c r="AT115" i="3"/>
  <c r="Y133" i="3"/>
  <c r="AT151" i="3"/>
  <c r="N92" i="3" s="1"/>
  <c r="AI120" i="5"/>
  <c r="M81" i="4"/>
  <c r="F83" i="4"/>
  <c r="AI115" i="4"/>
  <c r="N115" i="4" s="1"/>
  <c r="N90" i="4" s="1"/>
  <c r="F78" i="2"/>
  <c r="M33" i="2"/>
  <c r="AW88" i="1" s="1"/>
  <c r="F84" i="3"/>
  <c r="M83" i="3"/>
  <c r="AA133" i="3"/>
  <c r="F84" i="4"/>
  <c r="M83" i="4"/>
  <c r="W114" i="4"/>
  <c r="W113" i="4" s="1"/>
  <c r="AU91" i="1" s="1"/>
  <c r="AA114" i="4"/>
  <c r="AA113" i="4" s="1"/>
  <c r="AT120" i="2"/>
  <c r="F78" i="3"/>
  <c r="M84" i="3"/>
  <c r="H35" i="3"/>
  <c r="BC89" i="1" s="1"/>
  <c r="AT133" i="3"/>
  <c r="Y151" i="3"/>
  <c r="M81" i="5"/>
  <c r="H35" i="5"/>
  <c r="BC90" i="1" s="1"/>
  <c r="F78" i="4"/>
  <c r="M84" i="4"/>
  <c r="H35" i="4"/>
  <c r="BC91" i="1" s="1"/>
  <c r="BA90" i="1"/>
  <c r="H33" i="4"/>
  <c r="BA91" i="1" s="1"/>
  <c r="H33" i="2"/>
  <c r="BA88" i="1" s="1"/>
  <c r="H33" i="3"/>
  <c r="BA89" i="1" s="1"/>
  <c r="M32" i="3" l="1"/>
  <c r="AV89" i="1" s="1"/>
  <c r="N92" i="2"/>
  <c r="N91" i="3"/>
  <c r="N90" i="3"/>
  <c r="H32" i="3"/>
  <c r="AZ89" i="1" s="1"/>
  <c r="N119" i="2"/>
  <c r="N97" i="2"/>
  <c r="N95" i="2"/>
  <c r="N96" i="2"/>
  <c r="N91" i="2"/>
  <c r="N90" i="5"/>
  <c r="N95" i="5"/>
  <c r="W119" i="5"/>
  <c r="W118" i="5" s="1"/>
  <c r="AU90" i="1" s="1"/>
  <c r="N229" i="2"/>
  <c r="AI227" i="5"/>
  <c r="N119" i="5"/>
  <c r="N118" i="5" s="1"/>
  <c r="AI114" i="4"/>
  <c r="AI113" i="4" s="1"/>
  <c r="N113" i="4" s="1"/>
  <c r="N88" i="4" s="1"/>
  <c r="BD87" i="1"/>
  <c r="W35" i="1" s="1"/>
  <c r="AA119" i="5"/>
  <c r="AA118" i="5" s="1"/>
  <c r="AI119" i="5"/>
  <c r="AT89" i="1"/>
  <c r="AA114" i="3"/>
  <c r="AA113" i="3" s="1"/>
  <c r="BB87" i="1"/>
  <c r="AX87" i="1" s="1"/>
  <c r="AT119" i="2"/>
  <c r="H32" i="2"/>
  <c r="AZ88" i="1" s="1"/>
  <c r="BC87" i="1"/>
  <c r="W34" i="1" s="1"/>
  <c r="AT229" i="2"/>
  <c r="AU88" i="1"/>
  <c r="N90" i="2"/>
  <c r="AT114" i="3"/>
  <c r="N114" i="3" s="1"/>
  <c r="N89" i="3" s="1"/>
  <c r="Y118" i="5"/>
  <c r="BA87" i="1"/>
  <c r="N94" i="2" l="1"/>
  <c r="N89" i="2"/>
  <c r="N118" i="2"/>
  <c r="N114" i="4"/>
  <c r="N89" i="4" s="1"/>
  <c r="N89" i="5"/>
  <c r="AU87" i="1"/>
  <c r="N94" i="5"/>
  <c r="AI118" i="5"/>
  <c r="N88" i="5" s="1"/>
  <c r="M27" i="5" s="1"/>
  <c r="W33" i="1"/>
  <c r="AT113" i="3"/>
  <c r="N113" i="3" s="1"/>
  <c r="N88" i="3" s="1"/>
  <c r="L96" i="3" s="1"/>
  <c r="AY87" i="1"/>
  <c r="AT118" i="2"/>
  <c r="AW87" i="1"/>
  <c r="L96" i="4"/>
  <c r="M27" i="4"/>
  <c r="M30" i="4" l="1"/>
  <c r="H32" i="4"/>
  <c r="M30" i="5"/>
  <c r="AN90" i="1" s="1"/>
  <c r="H32" i="5"/>
  <c r="M27" i="3"/>
  <c r="M30" i="3" s="1"/>
  <c r="N88" i="2"/>
  <c r="L101" i="2" s="1"/>
  <c r="L101" i="5"/>
  <c r="AC27" i="4" l="1"/>
  <c r="AG91" i="1" s="1"/>
  <c r="AN91" i="1" s="1"/>
  <c r="M32" i="4"/>
  <c r="AV91" i="1" s="1"/>
  <c r="AT91" i="1" s="1"/>
  <c r="AZ91" i="1"/>
  <c r="AC30" i="4"/>
  <c r="M32" i="5"/>
  <c r="AV90" i="1" s="1"/>
  <c r="AT90" i="1" s="1"/>
  <c r="AZ90" i="1"/>
  <c r="L38" i="3"/>
  <c r="AC30" i="3"/>
  <c r="AG89" i="1" s="1"/>
  <c r="AN89" i="1" s="1"/>
  <c r="M27" i="2"/>
  <c r="M30" i="2" s="1"/>
  <c r="AZ87" i="1" l="1"/>
  <c r="AV87" i="1" s="1"/>
  <c r="AT87" i="1" s="1"/>
  <c r="L38" i="4"/>
  <c r="L38" i="5"/>
  <c r="M32" i="2"/>
  <c r="AD30" i="2"/>
  <c r="AG88" i="1" s="1"/>
  <c r="AN88" i="1" s="1"/>
  <c r="AN87" i="1" s="1"/>
  <c r="AN95" i="1" s="1"/>
  <c r="AG87" i="1"/>
  <c r="AK26" i="1" s="1"/>
  <c r="L38" i="2"/>
  <c r="AV88" i="1"/>
  <c r="AT88" i="1" s="1"/>
  <c r="AG95" i="1" l="1"/>
  <c r="W31" i="1"/>
  <c r="AK31" i="1" s="1"/>
  <c r="AK37" i="1" s="1"/>
  <c r="AK29" i="1"/>
</calcChain>
</file>

<file path=xl/sharedStrings.xml><?xml version="1.0" encoding="utf-8"?>
<sst xmlns="http://schemas.openxmlformats.org/spreadsheetml/2006/main" count="3085" uniqueCount="475">
  <si>
    <t>2012</t>
  </si>
  <si>
    <t>List obsahuje:</t>
  </si>
  <si>
    <t>1) Souhrnný list stavby</t>
  </si>
  <si>
    <t>2) Rekapitulace objektů</t>
  </si>
  <si>
    <t>2.0</t>
  </si>
  <si>
    <t/>
  </si>
  <si>
    <t>optimalizováno pro tisk sestav ve formátu A4 - na výšku</t>
  </si>
  <si>
    <t>&gt;&gt;  skryté sloupce  &lt;&lt;</t>
  </si>
  <si>
    <t>21</t>
  </si>
  <si>
    <t>15</t>
  </si>
  <si>
    <t>SOUHRNNÝ LIST STAVBY</t>
  </si>
  <si>
    <t>v ---  níže se nacházejí doplnkové a pomocné údaje k sestavám  --- v</t>
  </si>
  <si>
    <t>Kód:</t>
  </si>
  <si>
    <t>2018/010</t>
  </si>
  <si>
    <t>Stavba:</t>
  </si>
  <si>
    <t>Oprava fasády objektů nemocnice Horní Beřkovice</t>
  </si>
  <si>
    <t>JKSO:</t>
  </si>
  <si>
    <t>CC-CZ:</t>
  </si>
  <si>
    <t>Místo:</t>
  </si>
  <si>
    <t>HORNÍ BEŘKOVICE, PODŘIPSKÁ 1</t>
  </si>
  <si>
    <t>Datum:</t>
  </si>
  <si>
    <t>Objednatel:</t>
  </si>
  <si>
    <t>IČ:</t>
  </si>
  <si>
    <t>PSYCHIATRICKÁ NEMOCNICE HORNÍ BEŘKOVICE</t>
  </si>
  <si>
    <t>DIČ:</t>
  </si>
  <si>
    <t>Zhotovitel:</t>
  </si>
  <si>
    <t xml:space="preserve"> </t>
  </si>
  <si>
    <t>Projektant:</t>
  </si>
  <si>
    <t>Starý a partner s.r.o.</t>
  </si>
  <si>
    <t>True</t>
  </si>
  <si>
    <t>Zpracovatel:</t>
  </si>
  <si>
    <t>ww.rozpoct-staveb.cz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</si>
  <si>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</si>
  <si>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</si>
  <si>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</si>
  <si>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</si>
  <si>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</si>
  <si>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</si>
  <si>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</si>
  <si>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</si>
  <si>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</si>
  <si>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</si>
  <si>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</si>
  <si>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</si>
  <si>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</si>
  <si>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</si>
  <si>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</si>
  <si>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</si>
  <si>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</si>
  <si>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</si>
  <si>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</si>
  <si>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</si>
  <si>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</si>
  <si>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</si>
  <si>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</si>
  <si>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</si>
  <si>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</si>
  <si>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</si>
  <si>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</si>
  <si>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</si>
  <si>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</si>
  <si>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</si>
  <si>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</si>
  <si>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</si>
  <si>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</si>
  <si>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</si>
  <si>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</si>
  <si>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</si>
  <si>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</si>
  <si>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</si>
  <si>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</si>
  <si>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0</t>
  </si>
  <si>
    <t>/</t>
  </si>
  <si>
    <t>1</t>
  </si>
  <si>
    <t>2018/010/b</t>
  </si>
  <si>
    <t>Fasáda objektu G</t>
  </si>
  <si>
    <t>2018/010/e</t>
  </si>
  <si>
    <t>Elektroinstalace Budova G</t>
  </si>
  <si>
    <t>2018/010/c</t>
  </si>
  <si>
    <t>Fasáda objektu H</t>
  </si>
  <si>
    <t>2018/010/f</t>
  </si>
  <si>
    <t>Elektroinstalace Budova H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</si>
  <si>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</si>
  <si>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</si>
  <si>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</si>
  <si>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</si>
  <si>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</si>
  <si>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</si>
  <si>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</si>
  <si>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</si>
  <si>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</si>
  <si>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</si>
  <si>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</si>
  <si>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</si>
  <si>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</si>
  <si>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</si>
  <si>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</si>
  <si>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</si>
  <si>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</si>
  <si>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</si>
  <si>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</si>
  <si>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</si>
  <si>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</si>
  <si>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</si>
  <si>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</si>
  <si>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</si>
  <si>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</si>
  <si>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</si>
  <si>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</si>
  <si>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</si>
  <si>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</si>
  <si>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</si>
  <si>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</si>
  <si>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</si>
  <si>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</si>
  <si>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</si>
  <si>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</si>
  <si>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</si>
  <si>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</si>
  <si>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</si>
  <si>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</si>
  <si>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</si>
  <si>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</si>
  <si>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</si>
  <si>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</si>
  <si>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</si>
  <si>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m2</t>
  </si>
  <si>
    <t>4</t>
  </si>
  <si>
    <t>Součet</t>
  </si>
  <si>
    <t>622125101</t>
  </si>
  <si>
    <t>Vyplnění spár cementovou maltou vnějších stěn z cihel</t>
  </si>
  <si>
    <t xml:space="preserve">vyspárování zdiva po otlučení omítky do hloubky min. 20mm </t>
  </si>
  <si>
    <t>3</t>
  </si>
  <si>
    <t>622131101</t>
  </si>
  <si>
    <t>Cementový postřik vnějších stěn nanášený celoplošně ručně</t>
  </si>
  <si>
    <t>podkladní vrstva</t>
  </si>
  <si>
    <t>622212011</t>
  </si>
  <si>
    <t xml:space="preserve">Spádový beton parapetů vč. bednění </t>
  </si>
  <si>
    <t>m</t>
  </si>
  <si>
    <t>úprava parapetů - spádový beton</t>
  </si>
  <si>
    <t>5</t>
  </si>
  <si>
    <t>6</t>
  </si>
  <si>
    <t>622321141</t>
  </si>
  <si>
    <t>Vápenocementová omítka štuková dvouvrstvá vnějších stěn nanášená ručně</t>
  </si>
  <si>
    <t>omítka</t>
  </si>
  <si>
    <t>7</t>
  </si>
  <si>
    <t>623111111</t>
  </si>
  <si>
    <t>Vyspravení parapetních říms cementovou maltou + dozdívka</t>
  </si>
  <si>
    <t>oprava podokenních říms</t>
  </si>
  <si>
    <t>8</t>
  </si>
  <si>
    <t>9</t>
  </si>
  <si>
    <t>10</t>
  </si>
  <si>
    <t>623321341</t>
  </si>
  <si>
    <t>Vápenocementová omítka štuková dvouvrstvá vnějších ostění nanášená ručně</t>
  </si>
  <si>
    <t>ostění</t>
  </si>
  <si>
    <t>11</t>
  </si>
  <si>
    <t>629991011</t>
  </si>
  <si>
    <t>Zakrytí výplní otvorů a svislých ploch fólií přilepenou lepící páskou</t>
  </si>
  <si>
    <t>otlučení omítek</t>
  </si>
  <si>
    <t>12</t>
  </si>
  <si>
    <t>13</t>
  </si>
  <si>
    <t>941111122</t>
  </si>
  <si>
    <t>Montáž lešení řadového trubkového lehkého s podlahami zatížení do 200 kg/m2 š do 1,2 m v do 25 m</t>
  </si>
  <si>
    <t>16</t>
  </si>
  <si>
    <t>14</t>
  </si>
  <si>
    <t>941111222</t>
  </si>
  <si>
    <t>Příplatek k lešení řadovému trubkovému lehkému s podlahami š 1,2 m v 25 m za první a ZKD den použití</t>
  </si>
  <si>
    <t>941111822</t>
  </si>
  <si>
    <t>Demontáž lešení řadového trubkového lehkého s podlahami zatížení do 200 kg/m2 š do 1,2 m v do 25 m</t>
  </si>
  <si>
    <t>944511111</t>
  </si>
  <si>
    <t>Montáž ochranné sítě z textilie z umělých vláken</t>
  </si>
  <si>
    <t>17</t>
  </si>
  <si>
    <t>944511211</t>
  </si>
  <si>
    <t>Příplatek k ochranné síti za první a ZKD den použití</t>
  </si>
  <si>
    <t>18</t>
  </si>
  <si>
    <t>944511811</t>
  </si>
  <si>
    <t>Demontáž ochranné sítě z textilie z umělých vláken</t>
  </si>
  <si>
    <t>19</t>
  </si>
  <si>
    <t>20</t>
  </si>
  <si>
    <t>9760821R1</t>
  </si>
  <si>
    <t>Demontáž info cedulí na fasádě</t>
  </si>
  <si>
    <t>kpl</t>
  </si>
  <si>
    <t>9760821R2</t>
  </si>
  <si>
    <t xml:space="preserve">Zpětná montáž info cedulí na novou fasádu </t>
  </si>
  <si>
    <t>22</t>
  </si>
  <si>
    <t>23</t>
  </si>
  <si>
    <t>24</t>
  </si>
  <si>
    <t>25</t>
  </si>
  <si>
    <t>978019391</t>
  </si>
  <si>
    <t>Otlučení (osekání) vnější vápenné nebo vápenocementové omítky stupně členitosti 3 až 5  do 100%</t>
  </si>
  <si>
    <t>26</t>
  </si>
  <si>
    <t>27</t>
  </si>
  <si>
    <t>28</t>
  </si>
  <si>
    <t>997013111</t>
  </si>
  <si>
    <t>Vnitrostaveništní doprava suti a vybouraných hmot pro budovy v do 6 m s použitím mechanizace</t>
  </si>
  <si>
    <t>t</t>
  </si>
  <si>
    <t>29</t>
  </si>
  <si>
    <t>997013501</t>
  </si>
  <si>
    <t>Odvoz suti a vybouraných hmot na skládku nebo meziskládku do 1 km se složením</t>
  </si>
  <si>
    <t>30</t>
  </si>
  <si>
    <t>997013509</t>
  </si>
  <si>
    <t>Příplatek k odvozu suti a vybouraných hmot na skládku ZKD 1 km přes 1 km</t>
  </si>
  <si>
    <t>67,706*20</t>
  </si>
  <si>
    <t>31</t>
  </si>
  <si>
    <t>997013803</t>
  </si>
  <si>
    <t>Poplatek za uložení na skládce (skládkovné) stavebního odpadu cihelného kód odpadu 170 102</t>
  </si>
  <si>
    <t>32</t>
  </si>
  <si>
    <t>998011002</t>
  </si>
  <si>
    <t>Přesun hmot pro budovy zděné v do 12 m</t>
  </si>
  <si>
    <t>33</t>
  </si>
  <si>
    <t>34</t>
  </si>
  <si>
    <t>35</t>
  </si>
  <si>
    <t>36</t>
  </si>
  <si>
    <t>38</t>
  </si>
  <si>
    <t>764002851</t>
  </si>
  <si>
    <t>Demontáž oplechování parapetů do suti</t>
  </si>
  <si>
    <t>1,53</t>
  </si>
  <si>
    <t>3*1</t>
  </si>
  <si>
    <t>1,47</t>
  </si>
  <si>
    <t>40</t>
  </si>
  <si>
    <t>42</t>
  </si>
  <si>
    <t>764004861</t>
  </si>
  <si>
    <t>Demontáž svodu do suti</t>
  </si>
  <si>
    <t>44</t>
  </si>
  <si>
    <t>46</t>
  </si>
  <si>
    <t>48</t>
  </si>
  <si>
    <t>764246345</t>
  </si>
  <si>
    <t>KL/13 oplechování okenního parapetu (okna š. 1530 mm), RŠ 460 mm, dl. 1530 mm</t>
  </si>
  <si>
    <t>KL/14 oplechování okenního parapetu (okna š. 1000 mm), RŠ 460 mm, dl. 1000 mm</t>
  </si>
  <si>
    <t>KL/15 oplechování okenního parapetu (okna š. 1470 mm), RŠ 460 mm, dl. 1470 mm</t>
  </si>
  <si>
    <t>50</t>
  </si>
  <si>
    <t>764548323</t>
  </si>
  <si>
    <t>52</t>
  </si>
  <si>
    <t>998764102</t>
  </si>
  <si>
    <t>Přesun hmot tonážní pro konstrukce klempířské v objektech v do 12 m</t>
  </si>
  <si>
    <t>54</t>
  </si>
  <si>
    <t>56</t>
  </si>
  <si>
    <t>58</t>
  </si>
  <si>
    <t>767194R1</t>
  </si>
  <si>
    <t>60</t>
  </si>
  <si>
    <t>62</t>
  </si>
  <si>
    <t>64</t>
  </si>
  <si>
    <t>66</t>
  </si>
  <si>
    <t>68</t>
  </si>
  <si>
    <t>70</t>
  </si>
  <si>
    <t>72</t>
  </si>
  <si>
    <t>783823165</t>
  </si>
  <si>
    <t>Penetrační silikonový nátěr omítek stupně členitosti 3</t>
  </si>
  <si>
    <t>783826315</t>
  </si>
  <si>
    <t>Mikroarmovací silikonový nátěr omítek</t>
  </si>
  <si>
    <t>silikonový nátěr</t>
  </si>
  <si>
    <t>783896305</t>
  </si>
  <si>
    <t>Příplatek k cenám elastických,mikroarmovacích nátěrů omítek za barevný nátěr v odstínu středně sytém</t>
  </si>
  <si>
    <t xml:space="preserve">D1 - </t>
  </si>
  <si>
    <t xml:space="preserve">    D1 - </t>
  </si>
  <si>
    <t>Pol1</t>
  </si>
  <si>
    <t>Pojistková skříň SR502/ KVS4   SR4/2/</t>
  </si>
  <si>
    <t>ks</t>
  </si>
  <si>
    <t>Pol2</t>
  </si>
  <si>
    <t>Pojistková skříň SR402/ KVS4   SR3/2/</t>
  </si>
  <si>
    <t>Pol3</t>
  </si>
  <si>
    <t>Nožové pojistky 25A</t>
  </si>
  <si>
    <t>Pol4</t>
  </si>
  <si>
    <t>Nožové pojistky 50A</t>
  </si>
  <si>
    <t>Pol5</t>
  </si>
  <si>
    <t>Nožové pojistky 125A</t>
  </si>
  <si>
    <t>Pol6</t>
  </si>
  <si>
    <t>Nožové pojistky 160A</t>
  </si>
  <si>
    <t>Pol7</t>
  </si>
  <si>
    <t>Podpěra vedení do zdiva</t>
  </si>
  <si>
    <t>Pol8</t>
  </si>
  <si>
    <t>Ochranný úhelník OU 1.7</t>
  </si>
  <si>
    <t>Pol9</t>
  </si>
  <si>
    <t>Drát zemníci ALMgSi 8</t>
  </si>
  <si>
    <t>kg</t>
  </si>
  <si>
    <t>Pol10</t>
  </si>
  <si>
    <t>Chránička kopoflex 40</t>
  </si>
  <si>
    <t>Pol11</t>
  </si>
  <si>
    <t>Kabel CYKY 4Jx16</t>
  </si>
  <si>
    <t>Pol12</t>
  </si>
  <si>
    <t>Zemnící drát CYH ZŽ10</t>
  </si>
  <si>
    <t>Pol13</t>
  </si>
  <si>
    <t>Světlo kulaté přísazné IP44</t>
  </si>
  <si>
    <t>Pol14</t>
  </si>
  <si>
    <t>Vypínač Tango IP</t>
  </si>
  <si>
    <t>Pol15</t>
  </si>
  <si>
    <t>Zásuvka 400V 16A IP44</t>
  </si>
  <si>
    <t>Pol16</t>
  </si>
  <si>
    <t>Sádra stavební</t>
  </si>
  <si>
    <t>Pol17</t>
  </si>
  <si>
    <t>Slaboproudý rozvaděč telefoní, zápustný</t>
  </si>
  <si>
    <t>Pol18</t>
  </si>
  <si>
    <t>Natažení provizorního propojení přívodu budova H a F</t>
  </si>
  <si>
    <t>Pol19</t>
  </si>
  <si>
    <t>Připojení přívodu do nožových pojistek</t>
  </si>
  <si>
    <t>Pol20</t>
  </si>
  <si>
    <t>Odpojení přívodu z nožových pojistek</t>
  </si>
  <si>
    <t>Pol21</t>
  </si>
  <si>
    <t>Odpojení stavajících přívodu z nožových pojistek</t>
  </si>
  <si>
    <t>Pol22</t>
  </si>
  <si>
    <t>Připojení přívodu do nových nožových pojistek</t>
  </si>
  <si>
    <t>Pol23</t>
  </si>
  <si>
    <t>Odstranění stavajících pojistkových rozvaděčů</t>
  </si>
  <si>
    <t>Pol24</t>
  </si>
  <si>
    <t>Montáž nových pojistkových rozvaděčů</t>
  </si>
  <si>
    <t>Pol25</t>
  </si>
  <si>
    <t>Demontáž stavajícího telefoního rozvaděče</t>
  </si>
  <si>
    <t>Pol26</t>
  </si>
  <si>
    <t>Montáž nového telefoního rozvaděče</t>
  </si>
  <si>
    <t>Pol27</t>
  </si>
  <si>
    <t>Přepojení telefoního rozvaděče, natažení kabelové trasy</t>
  </si>
  <si>
    <t>Pol28</t>
  </si>
  <si>
    <t>Odpojení stávajíci zásuvky 400V</t>
  </si>
  <si>
    <t>Pol29</t>
  </si>
  <si>
    <t>Připojení nové zásuvky 400V</t>
  </si>
  <si>
    <t>Pol30</t>
  </si>
  <si>
    <t>Odpojení plošiny pro vozíčkáře od napájení</t>
  </si>
  <si>
    <t>Pol31</t>
  </si>
  <si>
    <t>Připojení plošiny pro vozíčkáře</t>
  </si>
  <si>
    <t>kpl1</t>
  </si>
  <si>
    <t>Pol32</t>
  </si>
  <si>
    <t>Demontáž stavajících hromosvodových svodu</t>
  </si>
  <si>
    <t>Pol33</t>
  </si>
  <si>
    <t>Montáž nových hromosvodových svodů a podpěr</t>
  </si>
  <si>
    <t>Pol34</t>
  </si>
  <si>
    <t>Nezměřitelné práce, úpravy elektro na fasadě</t>
  </si>
  <si>
    <t>Pol35</t>
  </si>
  <si>
    <t>Revize</t>
  </si>
  <si>
    <t>Pol36</t>
  </si>
  <si>
    <t>Ostatní celkem</t>
  </si>
  <si>
    <t>2018/010/b - Fasáda objektu G</t>
  </si>
  <si>
    <t>-1817783779</t>
  </si>
  <si>
    <t>západní pohled</t>
  </si>
  <si>
    <t>východní pohled</t>
  </si>
  <si>
    <t>jižní pohled</t>
  </si>
  <si>
    <t>severní pohled</t>
  </si>
  <si>
    <t>1709970514</t>
  </si>
  <si>
    <t>-1826843328</t>
  </si>
  <si>
    <t>106,5</t>
  </si>
  <si>
    <t>-1133630801</t>
  </si>
  <si>
    <t>-739822056</t>
  </si>
  <si>
    <t>-845145006</t>
  </si>
  <si>
    <t>zakrtí omítek</t>
  </si>
  <si>
    <t>-862248723</t>
  </si>
  <si>
    <t>-(-4*1,35*2,45-1,4*2,4-1,95*2,45)</t>
  </si>
  <si>
    <t>-(-3*1,35*2,45-2*1,15*2,45-1,55*2,45-1,35*2,5-3*1,35*2,45-2*1,15*2,45-1,55*2,45)</t>
  </si>
  <si>
    <t>-(-1,38*3,5-3*1,35*2,45-13*1,15*2,45-2*1,05*2,45-1,5*2,9-2*1,35*2,45-2*1,05*2,45)</t>
  </si>
  <si>
    <t>-(-11*1,55*2,45-1,55*3,75-11*1,35*2,45-1,35*3,75)</t>
  </si>
  <si>
    <t>-131330158</t>
  </si>
  <si>
    <t>-509289480</t>
  </si>
  <si>
    <t>1302204665</t>
  </si>
  <si>
    <t>-1542455396</t>
  </si>
  <si>
    <t>1663602394</t>
  </si>
  <si>
    <t>686787691</t>
  </si>
  <si>
    <t>-1225746062</t>
  </si>
  <si>
    <t>-664454797</t>
  </si>
  <si>
    <t>-258725408</t>
  </si>
  <si>
    <t>-49659014</t>
  </si>
  <si>
    <t>1340887884</t>
  </si>
  <si>
    <t>-377625812</t>
  </si>
  <si>
    <t>-571849836</t>
  </si>
  <si>
    <t>-104272465</t>
  </si>
  <si>
    <t>-1087588234</t>
  </si>
  <si>
    <t>demontáž parapetů</t>
  </si>
  <si>
    <t>-1175664141</t>
  </si>
  <si>
    <t>Oplechování parapetů rovných celoplošně lepené z TiZn lesklého plechu rš 460 mm</t>
  </si>
  <si>
    <t>-1937909130</t>
  </si>
  <si>
    <t>oplechování okenního parapetu, RŠ 400 mm</t>
  </si>
  <si>
    <t>Svody kruhové včetně objímek, kolen, odskoků z TiZn lesklého plechu průměru 100 mm</t>
  </si>
  <si>
    <t>1499969741</t>
  </si>
  <si>
    <t>1741786332</t>
  </si>
  <si>
    <t>ZA01 - STŘÍŠKA NAD VCHODEM</t>
  </si>
  <si>
    <t>1282235857</t>
  </si>
  <si>
    <t>Ukotví se na plechy 400x400x12 vruty M16. Nosnou částí jsou
táhla pr.12mm a TR. 50/5mm. Na tuto konstrukci se přichytí speciální bezpečnostní
sklo CONNEX. Tato konstrukce je detailně rozkreslena na výkrese č.10.1. Povrchová
úprava – barva Ral 9006 (bílý hliník)</t>
  </si>
  <si>
    <t>767194R4</t>
  </si>
  <si>
    <t>ZA04 - DVÍŘKA DO NIK</t>
  </si>
  <si>
    <t>1969477318</t>
  </si>
  <si>
    <t>Jedná se o dvířka do nik ve vnějším líci zdiva. Dvířka budou
plechová z žárově pozinkovaného plechu tl.1mm. Budou buď jednokřídlová nebo
dvoukřídlová, podle otvoru a původních dvířek které se vymění. Rám dvířek se osadí
tak, aby po zateplení tvořil líc zdiva.</t>
  </si>
  <si>
    <t>-2042347685</t>
  </si>
  <si>
    <t>penetrace</t>
  </si>
  <si>
    <t>1224100804</t>
  </si>
  <si>
    <t>-2051581172</t>
  </si>
  <si>
    <t>2018/010/e - Elektroinstalace Budova G</t>
  </si>
  <si>
    <t>2018/010/c - Fasáda objektu H</t>
  </si>
  <si>
    <t>1806477791</t>
  </si>
  <si>
    <t>481171602</t>
  </si>
  <si>
    <t>-423802514</t>
  </si>
  <si>
    <t>-1495040709</t>
  </si>
  <si>
    <t>-1499964161</t>
  </si>
  <si>
    <t>-325184620</t>
  </si>
  <si>
    <t>8*0,8+16*0,4+16*1,25+32*2,49+1,5+2*2,65+1,9+6,4+1,9+2</t>
  </si>
  <si>
    <t>3*0,8+6*0,4+2*1,25+4*2,49</t>
  </si>
  <si>
    <t>3*0,8+6*0,4+15*1,25+30*2,49+8*1,05+16*2,49+1,34+2*2,4</t>
  </si>
  <si>
    <t>4*0,8+8*0,4+13*1,25+26*2,49+12*1,05+24*2,49+1,44+6,8</t>
  </si>
  <si>
    <t>-17923860</t>
  </si>
  <si>
    <t>-(-8*0,8*0,4-16*1,25*2,49-1,5*2,65-1,9*3,2-1,9*1)</t>
  </si>
  <si>
    <t>-(-3*0,8*0,4-2*1,25*2,49)</t>
  </si>
  <si>
    <t>-(-3*0,8*0,4-15*1,25*2,49-8*1,05*2,49-1,34*2,4)</t>
  </si>
  <si>
    <t>-(-4*0,8*0,4-13*1,25*2,49-12*1,05*2,49-1,44*3,4)</t>
  </si>
  <si>
    <t>-382576321</t>
  </si>
  <si>
    <t>lešení</t>
  </si>
  <si>
    <t>75990245</t>
  </si>
  <si>
    <t>-971740426</t>
  </si>
  <si>
    <t>1446968706</t>
  </si>
  <si>
    <t>-1981164719</t>
  </si>
  <si>
    <t>915352903</t>
  </si>
  <si>
    <t>-1607680457</t>
  </si>
  <si>
    <t>1528268077</t>
  </si>
  <si>
    <t>122407838</t>
  </si>
  <si>
    <t>-861857923</t>
  </si>
  <si>
    <t>346423082</t>
  </si>
  <si>
    <t>-383347619</t>
  </si>
  <si>
    <t>1345882920</t>
  </si>
  <si>
    <t>398383057</t>
  </si>
  <si>
    <t>666239436</t>
  </si>
  <si>
    <t>1738924087</t>
  </si>
  <si>
    <t>Oplechování parapetů rovných celoplošně lepené z TiZn lesklého plechu rš 360 mm</t>
  </si>
  <si>
    <t>-1590636857</t>
  </si>
  <si>
    <t>493178102</t>
  </si>
  <si>
    <t>369881359</t>
  </si>
  <si>
    <t>ZA03 - DVÍŘKA DO NIK</t>
  </si>
  <si>
    <t>1431940573</t>
  </si>
  <si>
    <t>-1979801255</t>
  </si>
  <si>
    <t>2109135608</t>
  </si>
  <si>
    <t>-1682610670</t>
  </si>
  <si>
    <t>2018/010/f - Elektroinstalace Budova H</t>
  </si>
  <si>
    <t>3*1,75+6*2,75+2*1,15+4*2,75+1,75+2*2,75+1,35+5+3*1,35+6*2,75+2*1,15+4*2,75+1,75+2*2,75</t>
  </si>
  <si>
    <t>1,45+7+3*1,85+7*2,75+14*1,15+26*2,75+2*1,2+4*2,75+1,5+2*3,3+2*1,85+4*2,75+2*1,2+4*2,75</t>
  </si>
  <si>
    <t>11*1,75+24*2,75+1,75+2*3,75+11*1,75+22*2,75+1,35+2*3,75</t>
  </si>
  <si>
    <t>18,55*11,2+2,1*2*10,7+10-4*1,35*2,45-1,4*2,4-1,95*2,45</t>
  </si>
  <si>
    <t>5*5,2+3,82*10,7+8,7*4,4+3,8*11,2+3,9*10,7+4,18*10,7+4,91*10,7+7,3*4,5-3*1,35*2,2-2*1,15*2,2-1,55*2,45-1,35*2,5-3*1,35*2,45-2*1,15*2,2-1,3*2,45</t>
  </si>
  <si>
    <t>11,33*10,7+7,52*10,7+15,65*10,7+12,36*10,7-6*5+13,55*10,7-5*5,8-1,38*3,5-3*1,35*2,45-13*1,15*2,45-2*1,05*2,45-1,5*2,9-2*1,35*2,45-2*1,05*2,45</t>
  </si>
  <si>
    <t>11,33*10,7+7,52*10,7+15,65*10,7+12,36*10,7-6*5+11,55*10,7-5*5,8-1,38*3,5-3*1,35*2,45-13*1,15*2,45-2*1,05*2,45-1,5*2,9-2*1,35*2,45-2*1,05*2,45</t>
  </si>
  <si>
    <t>40,2*10,7+2*10,7-11*1,55*2,45-1,55*3,75-11*1,35*2,45-1,35*2,75</t>
  </si>
  <si>
    <t>445,53*0,3</t>
  </si>
  <si>
    <t>18,55*11,2+2,1*2*10,5+10</t>
  </si>
  <si>
    <t>5*5,2+3,82*10,7+8,7*4,4+3,8*10,7+3,9*10,7+4,18*10,7+4,91*10,7+7,3*4,5-3*1,35*2,2-2*1,15*2,2-1,55*2,45-1,35*2,5-3*1,35*2,45-2*1,15*2,2-1,3*2,45</t>
  </si>
  <si>
    <t>4,7*1,35+8,7*2,45+1,4+4,8+1,95+2*2,95</t>
  </si>
  <si>
    <t>5*5,2+3,82*11,2+9,7*4,2+3,8*11,2+3,44*11,2+4,18*11,5+4,91*11,2+7,9*4,5</t>
  </si>
  <si>
    <t>39,85*10,5+2*10,7</t>
  </si>
  <si>
    <t>11,33*11,2+6,52*11,2+14,91*11,2+12,36*11,2-6*5+11,33*11,2</t>
  </si>
  <si>
    <t>1633,149*90</t>
  </si>
  <si>
    <t>33,51*11,2+3,65*11,2*2-8*0,8*0,4-16*1,25*2,49-1,5*2,65-1,9*3,2-1,9*1</t>
  </si>
  <si>
    <t>17,85*11,2-3*0,8*0,4-2*1,25*2,49</t>
  </si>
  <si>
    <t>33,31*11,2+2,2*11,2+9,68*11,2-3*0,8*0,4-15*1,25*2,49-8*1,05*2,49-1,34*2,4</t>
  </si>
  <si>
    <t>33,31*11,2+2,2*11,2+9,68*11,2-4*0,8*0,4-13*1,25*2,49-12*1,05*2,49-1,44*3,4</t>
  </si>
  <si>
    <t>523,36*0,3</t>
  </si>
  <si>
    <t>33,51*11,2+3,65*11,2*2</t>
  </si>
  <si>
    <t>17,85*11,2</t>
  </si>
  <si>
    <t>33,51*11,2+2,2*11,2+9,68*10,85</t>
  </si>
  <si>
    <t>33,51*11,2+2,2*11,2+9,68*11,2</t>
  </si>
  <si>
    <t>1670,340*90</t>
  </si>
  <si>
    <t>93,580*20</t>
  </si>
  <si>
    <t>KL/02 oplechování okenního parapetu (okna š. 1100 mm), RŠ 460 mm, dl. 1100 mm</t>
  </si>
  <si>
    <t>KL/03 oplechování okenního parapetu (okna š. 850 mm), RŠ 460 mm, dl. 850 mm</t>
  </si>
  <si>
    <t>8*0,85</t>
  </si>
  <si>
    <t>KL/04 oplechování okenního parapetu (okna š. 1250 mm), RŠ 460 mm, dl. 1250 mm</t>
  </si>
  <si>
    <t>7*1,25</t>
  </si>
  <si>
    <t>KL/05 oplechování okenního parapetu (okna š. 2100 mm), RŠ 460 mm, dl. 2100 mm</t>
  </si>
  <si>
    <t>3*2,1</t>
  </si>
  <si>
    <t>KL/06 oplechování okenního parapetu (okna š. 3200 mm), RŠ 460 mm, dl. 3200 mm</t>
  </si>
  <si>
    <t>KL/07 oplechování okenního parapetu (okna š. 2150 mm), RŠ 460 mm, dl. 2150 mm</t>
  </si>
  <si>
    <t>10*2,15</t>
  </si>
  <si>
    <t>KL/08 oplechování okenního parapetu (okna š. 900 mm), RŠ 460 mm, dl. 900 mm</t>
  </si>
  <si>
    <t>3*0,9</t>
  </si>
  <si>
    <t>KL/09 oplechování okenního parapetu (okna š. 600 mm), RŠ 460 mm, dl. 600 mm</t>
  </si>
  <si>
    <t>8*0,6</t>
  </si>
  <si>
    <t>KL/11 oplechování okenního parapetu (okna š. 1550mm), RŠ 460 mm, dl. 1550 mm</t>
  </si>
  <si>
    <t>9*1,55</t>
  </si>
  <si>
    <t>KL/12 oplechování okenního parapetu (okna š. 1650 mm), RŠ 460 mm, dl. 1650 mm</t>
  </si>
  <si>
    <t>3*1,65</t>
  </si>
  <si>
    <t>7*1*2</t>
  </si>
  <si>
    <t>3*3,2*2</t>
  </si>
  <si>
    <t>00673552</t>
  </si>
  <si>
    <t>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</si>
</sst>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  <font>
      <sz val="9"/>
      <name val="Trebuchet MS"/>
      <family val="2"/>
      <charset val="238"/>
    </font>
    <font>
      <b/>
      <sz val="12"/>
      <color theme="4" tint="-0.249977111117893"/>
      <name val="Trebuchet MS"/>
      <family val="2"/>
      <charset val="238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8"/>
      <color theme="0"/>
      <name val="Trebuchet MS"/>
      <family val="2"/>
    </font>
    <font>
      <b/>
      <sz val="8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0" fillId="0" borderId="0" xfId="0"/>
    <xf numFmtId="0" fontId="0" fillId="0" borderId="0" xfId="0"/>
    <xf numFmtId="167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0" fillId="0" borderId="0" xfId="0"/>
    <xf numFmtId="4" fontId="0" fillId="0" borderId="0" xfId="0" applyNumberFormat="1"/>
    <xf numFmtId="49" fontId="0" fillId="0" borderId="0" xfId="0" applyNumberFormat="1" applyBorder="1"/>
    <xf numFmtId="49" fontId="2" fillId="0" borderId="0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25" xfId="0" applyFont="1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166" fontId="38" fillId="0" borderId="12" xfId="0" applyNumberFormat="1" applyFont="1" applyBorder="1" applyAlignment="1"/>
    <xf numFmtId="166" fontId="38" fillId="0" borderId="13" xfId="0" applyNumberFormat="1" applyFont="1" applyBorder="1" applyAlignment="1"/>
    <xf numFmtId="4" fontId="43" fillId="0" borderId="0" xfId="0" applyNumberFormat="1" applyFont="1" applyAlignment="1">
      <alignment vertical="center"/>
    </xf>
    <xf numFmtId="0" fontId="38" fillId="0" borderId="0" xfId="0" applyFont="1" applyAlignment="1"/>
    <xf numFmtId="0" fontId="38" fillId="0" borderId="14" xfId="0" applyFont="1" applyBorder="1" applyAlignment="1"/>
    <xf numFmtId="0" fontId="38" fillId="0" borderId="0" xfId="0" applyFont="1" applyBorder="1" applyAlignment="1"/>
    <xf numFmtId="166" fontId="38" fillId="0" borderId="0" xfId="0" applyNumberFormat="1" applyFont="1" applyBorder="1" applyAlignment="1"/>
    <xf numFmtId="166" fontId="38" fillId="0" borderId="15" xfId="0" applyNumberFormat="1" applyFont="1" applyBorder="1" applyAlignment="1"/>
    <xf numFmtId="4" fontId="38" fillId="0" borderId="0" xfId="0" applyNumberFormat="1" applyFont="1" applyAlignment="1">
      <alignment vertical="center"/>
    </xf>
    <xf numFmtId="0" fontId="38" fillId="0" borderId="25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166" fontId="38" fillId="0" borderId="0" xfId="0" applyNumberFormat="1" applyFont="1" applyBorder="1" applyAlignment="1">
      <alignment vertical="center"/>
    </xf>
    <xf numFmtId="166" fontId="38" fillId="0" borderId="15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4" fontId="42" fillId="0" borderId="0" xfId="0" applyNumberFormat="1" applyFont="1" applyFill="1" applyAlignment="1">
      <alignment vertical="center"/>
    </xf>
    <xf numFmtId="4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0" fillId="0" borderId="25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37" fillId="0" borderId="0" xfId="0" applyNumberFormat="1" applyFont="1" applyFill="1" applyBorder="1" applyAlignment="1"/>
    <xf numFmtId="4" fontId="37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" fontId="1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37" fillId="0" borderId="12" xfId="0" applyNumberFormat="1" applyFont="1" applyFill="1" applyBorder="1" applyAlignment="1"/>
    <xf numFmtId="4" fontId="37" fillId="0" borderId="12" xfId="0" applyNumberFormat="1" applyFont="1" applyFill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4" fontId="5" fillId="0" borderId="0" xfId="0" applyNumberFormat="1" applyFont="1" applyBorder="1" applyAlignment="1"/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6"/>
  <sheetViews>
    <sheetView showGridLines="0" workbookViewId="0">
      <pane ySplit="1" topLeftCell="A81" activePane="bottomLeft" state="frozen"/>
      <selection pane="bottomLeft" activeCell="AG91" sqref="AG91:AM9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5" width="2.5" customWidth="1"/>
    <col min="36" max="36" width="8.5" customWidth="1"/>
    <col min="37" max="37" width="7.164062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</cols>
  <sheetData>
    <row r="1" spans="1:56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</row>
    <row r="2" spans="1:56" ht="36.950000000000003" customHeight="1">
      <c r="C2" s="245" t="s">
        <v>6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R2" s="243" t="s">
        <v>7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</row>
    <row r="3" spans="1:5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</row>
    <row r="4" spans="1:56" ht="36.950000000000003" customHeight="1">
      <c r="B4" s="24"/>
      <c r="C4" s="241" t="s">
        <v>10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5"/>
      <c r="AS4" s="19" t="s">
        <v>11</v>
      </c>
    </row>
    <row r="5" spans="1:56" ht="14.45" customHeight="1">
      <c r="B5" s="24"/>
      <c r="C5" s="26"/>
      <c r="D5" s="27" t="s">
        <v>12</v>
      </c>
      <c r="E5" s="26"/>
      <c r="F5" s="26"/>
      <c r="G5" s="26"/>
      <c r="H5" s="26"/>
      <c r="I5" s="26"/>
      <c r="J5" s="26"/>
      <c r="K5" s="247" t="s">
        <v>13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6"/>
      <c r="AQ5" s="25"/>
    </row>
    <row r="6" spans="1:56" ht="36.950000000000003" customHeight="1">
      <c r="B6" s="24"/>
      <c r="C6" s="26"/>
      <c r="D6" s="29" t="s">
        <v>14</v>
      </c>
      <c r="E6" s="26"/>
      <c r="F6" s="26"/>
      <c r="G6" s="26"/>
      <c r="H6" s="26"/>
      <c r="I6" s="26"/>
      <c r="J6" s="26"/>
      <c r="K6" s="249" t="s">
        <v>15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6"/>
      <c r="AQ6" s="25"/>
    </row>
    <row r="7" spans="1:56" ht="14.45" customHeight="1">
      <c r="B7" s="24"/>
      <c r="C7" s="26"/>
      <c r="D7" s="30" t="s">
        <v>16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17</v>
      </c>
      <c r="AL7" s="26"/>
      <c r="AM7" s="26"/>
      <c r="AN7" s="28" t="s">
        <v>5</v>
      </c>
      <c r="AO7" s="26"/>
      <c r="AP7" s="26"/>
      <c r="AQ7" s="25"/>
    </row>
    <row r="8" spans="1:56" ht="14.45" customHeight="1">
      <c r="B8" s="24"/>
      <c r="C8" s="26"/>
      <c r="D8" s="30" t="s">
        <v>18</v>
      </c>
      <c r="E8" s="26"/>
      <c r="F8" s="26"/>
      <c r="G8" s="26"/>
      <c r="H8" s="26"/>
      <c r="I8" s="26"/>
      <c r="J8" s="26"/>
      <c r="K8" s="28" t="s">
        <v>19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20</v>
      </c>
      <c r="AL8" s="26"/>
      <c r="AM8" s="26"/>
      <c r="AN8" s="180" t="s">
        <v>474</v>
      </c>
      <c r="AO8" s="26"/>
      <c r="AP8" s="26"/>
      <c r="AQ8" s="25"/>
    </row>
    <row r="9" spans="1:56" ht="14.45" customHeight="1"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</row>
    <row r="10" spans="1:56" ht="14.45" customHeight="1">
      <c r="B10" s="24"/>
      <c r="C10" s="26"/>
      <c r="D10" s="30" t="s">
        <v>21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22</v>
      </c>
      <c r="AL10" s="26"/>
      <c r="AM10" s="178"/>
      <c r="AN10" s="180" t="s">
        <v>473</v>
      </c>
      <c r="AO10" s="26"/>
      <c r="AP10" s="26"/>
      <c r="AQ10" s="25"/>
    </row>
    <row r="11" spans="1:56" ht="18.399999999999999" customHeight="1">
      <c r="B11" s="24"/>
      <c r="C11" s="26"/>
      <c r="D11" s="26"/>
      <c r="E11" s="28" t="s">
        <v>23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24</v>
      </c>
      <c r="AL11" s="26"/>
      <c r="AM11" s="178"/>
      <c r="AN11" s="179" t="s">
        <v>5</v>
      </c>
      <c r="AO11" s="26"/>
      <c r="AP11" s="26"/>
      <c r="AQ11" s="25"/>
    </row>
    <row r="12" spans="1:56" ht="6.95" customHeight="1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78"/>
      <c r="AN12" s="178"/>
      <c r="AO12" s="26"/>
      <c r="AP12" s="26"/>
      <c r="AQ12" s="25"/>
    </row>
    <row r="13" spans="1:56" ht="14.45" customHeight="1">
      <c r="B13" s="24"/>
      <c r="C13" s="26"/>
      <c r="D13" s="30" t="s">
        <v>25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22</v>
      </c>
      <c r="AL13" s="26"/>
      <c r="AM13" s="178"/>
      <c r="AN13" s="179" t="s">
        <v>5</v>
      </c>
      <c r="AO13" s="26"/>
      <c r="AP13" s="26"/>
      <c r="AQ13" s="25"/>
    </row>
    <row r="14" spans="1:56" ht="15">
      <c r="B14" s="24"/>
      <c r="C14" s="26"/>
      <c r="D14" s="26"/>
      <c r="E14" s="28" t="s">
        <v>26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24</v>
      </c>
      <c r="AL14" s="26"/>
      <c r="AM14" s="178"/>
      <c r="AN14" s="179" t="s">
        <v>5</v>
      </c>
      <c r="AO14" s="26"/>
      <c r="AP14" s="26"/>
      <c r="AQ14" s="25"/>
    </row>
    <row r="15" spans="1:56" ht="6.95" customHeight="1"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178"/>
      <c r="AN15" s="178"/>
      <c r="AO15" s="26"/>
      <c r="AP15" s="26"/>
      <c r="AQ15" s="25"/>
    </row>
    <row r="16" spans="1:56" ht="14.45" customHeight="1">
      <c r="B16" s="24"/>
      <c r="C16" s="26"/>
      <c r="D16" s="30" t="s">
        <v>27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22</v>
      </c>
      <c r="AL16" s="26"/>
      <c r="AM16" s="178"/>
      <c r="AN16" s="179" t="s">
        <v>5</v>
      </c>
      <c r="AO16" s="26"/>
      <c r="AP16" s="26"/>
      <c r="AQ16" s="25"/>
    </row>
    <row r="17" spans="2:43" ht="18.399999999999999" customHeight="1">
      <c r="B17" s="24"/>
      <c r="C17" s="26"/>
      <c r="D17" s="26"/>
      <c r="E17" s="28" t="s">
        <v>28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24</v>
      </c>
      <c r="AL17" s="26"/>
      <c r="AM17" s="178"/>
      <c r="AN17" s="179" t="s">
        <v>5</v>
      </c>
      <c r="AO17" s="26"/>
      <c r="AP17" s="26"/>
      <c r="AQ17" s="25"/>
    </row>
    <row r="18" spans="2:43" ht="6.9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178"/>
      <c r="AN18" s="178"/>
      <c r="AO18" s="26"/>
      <c r="AP18" s="26"/>
      <c r="AQ18" s="25"/>
    </row>
    <row r="19" spans="2:43" ht="14.45" customHeight="1">
      <c r="B19" s="24"/>
      <c r="C19" s="26"/>
      <c r="D19" s="30" t="s">
        <v>30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22</v>
      </c>
      <c r="AL19" s="26"/>
      <c r="AM19" s="178"/>
      <c r="AN19" s="179" t="s">
        <v>5</v>
      </c>
      <c r="AO19" s="26"/>
      <c r="AP19" s="26"/>
      <c r="AQ19" s="25"/>
    </row>
    <row r="20" spans="2:43" ht="18.399999999999999" customHeight="1">
      <c r="B20" s="24"/>
      <c r="C20" s="26"/>
      <c r="D20" s="26"/>
      <c r="E20" s="28" t="s">
        <v>31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24</v>
      </c>
      <c r="AL20" s="26"/>
      <c r="AM20" s="178"/>
      <c r="AN20" s="179" t="s">
        <v>5</v>
      </c>
      <c r="AO20" s="26"/>
      <c r="AP20" s="26"/>
      <c r="AQ20" s="25"/>
    </row>
    <row r="21" spans="2:43" ht="6.95" customHeight="1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5"/>
    </row>
    <row r="22" spans="2:43" ht="15">
      <c r="B22" s="24"/>
      <c r="C22" s="26"/>
      <c r="D22" s="30" t="s">
        <v>32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5"/>
    </row>
    <row r="23" spans="2:43" ht="16.5" customHeight="1">
      <c r="B23" s="24"/>
      <c r="C23" s="26"/>
      <c r="D23" s="26"/>
      <c r="E23" s="250" t="s">
        <v>5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6"/>
      <c r="AP23" s="26"/>
      <c r="AQ23" s="25"/>
    </row>
    <row r="24" spans="2:43" ht="6.95" customHeight="1"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</row>
    <row r="25" spans="2:43" ht="6.95" customHeight="1">
      <c r="B25" s="24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5"/>
    </row>
    <row r="26" spans="2:43" ht="14.45" customHeight="1">
      <c r="B26" s="24"/>
      <c r="C26" s="26"/>
      <c r="D26" s="32" t="s">
        <v>33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28">
        <f>ROUND(AG87,2)</f>
        <v>0</v>
      </c>
      <c r="AL26" s="248"/>
      <c r="AM26" s="248"/>
      <c r="AN26" s="248"/>
      <c r="AO26" s="248"/>
      <c r="AP26" s="26"/>
      <c r="AQ26" s="25"/>
    </row>
    <row r="27" spans="2:43" ht="14.45" customHeight="1">
      <c r="B27" s="24"/>
      <c r="C27" s="26"/>
      <c r="D27" s="32" t="s">
        <v>34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28">
        <f>ROUND(AG93,2)</f>
        <v>0</v>
      </c>
      <c r="AL27" s="228"/>
      <c r="AM27" s="228"/>
      <c r="AN27" s="228"/>
      <c r="AO27" s="228"/>
      <c r="AP27" s="26"/>
      <c r="AQ27" s="25"/>
    </row>
    <row r="28" spans="2:43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43" s="1" customFormat="1" ht="25.9" customHeight="1">
      <c r="B29" s="33"/>
      <c r="C29" s="34"/>
      <c r="D29" s="36" t="s">
        <v>35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29">
        <f>ROUND(AK26+AK27,2)</f>
        <v>0</v>
      </c>
      <c r="AL29" s="230"/>
      <c r="AM29" s="230"/>
      <c r="AN29" s="230"/>
      <c r="AO29" s="230"/>
      <c r="AP29" s="34"/>
      <c r="AQ29" s="35"/>
    </row>
    <row r="30" spans="2:43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43" s="2" customFormat="1" ht="14.45" customHeight="1">
      <c r="B31" s="38"/>
      <c r="C31" s="39"/>
      <c r="D31" s="40" t="s">
        <v>36</v>
      </c>
      <c r="E31" s="39"/>
      <c r="F31" s="40" t="s">
        <v>37</v>
      </c>
      <c r="G31" s="39"/>
      <c r="H31" s="39"/>
      <c r="I31" s="39"/>
      <c r="J31" s="39"/>
      <c r="K31" s="39"/>
      <c r="L31" s="233">
        <v>0.21</v>
      </c>
      <c r="M31" s="232"/>
      <c r="N31" s="232"/>
      <c r="O31" s="232"/>
      <c r="P31" s="39"/>
      <c r="Q31" s="39"/>
      <c r="R31" s="39"/>
      <c r="S31" s="39"/>
      <c r="T31" s="42" t="s">
        <v>38</v>
      </c>
      <c r="U31" s="39"/>
      <c r="V31" s="39"/>
      <c r="W31" s="231">
        <f>AK26</f>
        <v>0</v>
      </c>
      <c r="X31" s="232"/>
      <c r="Y31" s="232"/>
      <c r="Z31" s="232"/>
      <c r="AA31" s="232"/>
      <c r="AB31" s="232"/>
      <c r="AC31" s="232"/>
      <c r="AD31" s="232"/>
      <c r="AE31" s="232"/>
      <c r="AF31" s="39"/>
      <c r="AG31" s="39"/>
      <c r="AH31" s="39"/>
      <c r="AI31" s="39"/>
      <c r="AJ31" s="39"/>
      <c r="AK31" s="231">
        <f>W31*0.21</f>
        <v>0</v>
      </c>
      <c r="AL31" s="232"/>
      <c r="AM31" s="232"/>
      <c r="AN31" s="232"/>
      <c r="AO31" s="232"/>
      <c r="AP31" s="39"/>
      <c r="AQ31" s="43"/>
    </row>
    <row r="32" spans="2:43" s="2" customFormat="1" ht="14.45" customHeight="1">
      <c r="B32" s="38"/>
      <c r="C32" s="39"/>
      <c r="D32" s="39"/>
      <c r="E32" s="39"/>
      <c r="F32" s="40" t="s">
        <v>39</v>
      </c>
      <c r="G32" s="39"/>
      <c r="H32" s="39"/>
      <c r="I32" s="39"/>
      <c r="J32" s="39"/>
      <c r="K32" s="39"/>
      <c r="L32" s="233">
        <v>0.15</v>
      </c>
      <c r="M32" s="232"/>
      <c r="N32" s="232"/>
      <c r="O32" s="232"/>
      <c r="P32" s="39"/>
      <c r="Q32" s="39"/>
      <c r="R32" s="39"/>
      <c r="S32" s="39"/>
      <c r="T32" s="42" t="s">
        <v>38</v>
      </c>
      <c r="U32" s="39"/>
      <c r="V32" s="39"/>
      <c r="W32" s="231">
        <v>0</v>
      </c>
      <c r="X32" s="232"/>
      <c r="Y32" s="232"/>
      <c r="Z32" s="232"/>
      <c r="AA32" s="232"/>
      <c r="AB32" s="232"/>
      <c r="AC32" s="232"/>
      <c r="AD32" s="232"/>
      <c r="AE32" s="232"/>
      <c r="AF32" s="39"/>
      <c r="AG32" s="39"/>
      <c r="AH32" s="39"/>
      <c r="AI32" s="39"/>
      <c r="AJ32" s="39"/>
      <c r="AK32" s="231">
        <v>0</v>
      </c>
      <c r="AL32" s="232"/>
      <c r="AM32" s="232"/>
      <c r="AN32" s="232"/>
      <c r="AO32" s="232"/>
      <c r="AP32" s="39"/>
      <c r="AQ32" s="43"/>
    </row>
    <row r="33" spans="2:43" s="2" customFormat="1" ht="14.45" hidden="1" customHeight="1">
      <c r="B33" s="38"/>
      <c r="C33" s="39"/>
      <c r="D33" s="39"/>
      <c r="E33" s="39"/>
      <c r="F33" s="40" t="s">
        <v>40</v>
      </c>
      <c r="G33" s="39"/>
      <c r="H33" s="39"/>
      <c r="I33" s="39"/>
      <c r="J33" s="39"/>
      <c r="K33" s="39"/>
      <c r="L33" s="233">
        <v>0.21</v>
      </c>
      <c r="M33" s="232"/>
      <c r="N33" s="232"/>
      <c r="O33" s="232"/>
      <c r="P33" s="39"/>
      <c r="Q33" s="39"/>
      <c r="R33" s="39"/>
      <c r="S33" s="39"/>
      <c r="T33" s="42" t="s">
        <v>38</v>
      </c>
      <c r="U33" s="39"/>
      <c r="V33" s="39"/>
      <c r="W33" s="231" t="e">
        <f>ROUND(BB87+SUM(#REF!),2)</f>
        <v>#REF!</v>
      </c>
      <c r="X33" s="232"/>
      <c r="Y33" s="232"/>
      <c r="Z33" s="232"/>
      <c r="AA33" s="232"/>
      <c r="AB33" s="232"/>
      <c r="AC33" s="232"/>
      <c r="AD33" s="232"/>
      <c r="AE33" s="232"/>
      <c r="AF33" s="39"/>
      <c r="AG33" s="39"/>
      <c r="AH33" s="39"/>
      <c r="AI33" s="39"/>
      <c r="AJ33" s="39"/>
      <c r="AK33" s="231">
        <v>0</v>
      </c>
      <c r="AL33" s="232"/>
      <c r="AM33" s="232"/>
      <c r="AN33" s="232"/>
      <c r="AO33" s="232"/>
      <c r="AP33" s="39"/>
      <c r="AQ33" s="43"/>
    </row>
    <row r="34" spans="2:43" s="2" customFormat="1" ht="14.45" hidden="1" customHeight="1">
      <c r="B34" s="38"/>
      <c r="C34" s="39"/>
      <c r="D34" s="39"/>
      <c r="E34" s="39"/>
      <c r="F34" s="40" t="s">
        <v>41</v>
      </c>
      <c r="G34" s="39"/>
      <c r="H34" s="39"/>
      <c r="I34" s="39"/>
      <c r="J34" s="39"/>
      <c r="K34" s="39"/>
      <c r="L34" s="233">
        <v>0.15</v>
      </c>
      <c r="M34" s="232"/>
      <c r="N34" s="232"/>
      <c r="O34" s="232"/>
      <c r="P34" s="39"/>
      <c r="Q34" s="39"/>
      <c r="R34" s="39"/>
      <c r="S34" s="39"/>
      <c r="T34" s="42" t="s">
        <v>38</v>
      </c>
      <c r="U34" s="39"/>
      <c r="V34" s="39"/>
      <c r="W34" s="231" t="e">
        <f>ROUND(BC87+SUM(#REF!),2)</f>
        <v>#REF!</v>
      </c>
      <c r="X34" s="232"/>
      <c r="Y34" s="232"/>
      <c r="Z34" s="232"/>
      <c r="AA34" s="232"/>
      <c r="AB34" s="232"/>
      <c r="AC34" s="232"/>
      <c r="AD34" s="232"/>
      <c r="AE34" s="232"/>
      <c r="AF34" s="39"/>
      <c r="AG34" s="39"/>
      <c r="AH34" s="39"/>
      <c r="AI34" s="39"/>
      <c r="AJ34" s="39"/>
      <c r="AK34" s="231">
        <v>0</v>
      </c>
      <c r="AL34" s="232"/>
      <c r="AM34" s="232"/>
      <c r="AN34" s="232"/>
      <c r="AO34" s="232"/>
      <c r="AP34" s="39"/>
      <c r="AQ34" s="43"/>
    </row>
    <row r="35" spans="2:43" s="2" customFormat="1" ht="14.45" hidden="1" customHeight="1">
      <c r="B35" s="38"/>
      <c r="C35" s="39"/>
      <c r="D35" s="39"/>
      <c r="E35" s="39"/>
      <c r="F35" s="40" t="s">
        <v>42</v>
      </c>
      <c r="G35" s="39"/>
      <c r="H35" s="39"/>
      <c r="I35" s="39"/>
      <c r="J35" s="39"/>
      <c r="K35" s="39"/>
      <c r="L35" s="233">
        <v>0</v>
      </c>
      <c r="M35" s="232"/>
      <c r="N35" s="232"/>
      <c r="O35" s="232"/>
      <c r="P35" s="39"/>
      <c r="Q35" s="39"/>
      <c r="R35" s="39"/>
      <c r="S35" s="39"/>
      <c r="T35" s="42" t="s">
        <v>38</v>
      </c>
      <c r="U35" s="39"/>
      <c r="V35" s="39"/>
      <c r="W35" s="231" t="e">
        <f>ROUND(BD87+SUM(#REF!),2)</f>
        <v>#REF!</v>
      </c>
      <c r="X35" s="232"/>
      <c r="Y35" s="232"/>
      <c r="Z35" s="232"/>
      <c r="AA35" s="232"/>
      <c r="AB35" s="232"/>
      <c r="AC35" s="232"/>
      <c r="AD35" s="232"/>
      <c r="AE35" s="232"/>
      <c r="AF35" s="39"/>
      <c r="AG35" s="39"/>
      <c r="AH35" s="39"/>
      <c r="AI35" s="39"/>
      <c r="AJ35" s="39"/>
      <c r="AK35" s="231">
        <v>0</v>
      </c>
      <c r="AL35" s="232"/>
      <c r="AM35" s="232"/>
      <c r="AN35" s="232"/>
      <c r="AO35" s="232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44</v>
      </c>
      <c r="U37" s="46"/>
      <c r="V37" s="46"/>
      <c r="W37" s="46"/>
      <c r="X37" s="237" t="s">
        <v>45</v>
      </c>
      <c r="Y37" s="238"/>
      <c r="Z37" s="238"/>
      <c r="AA37" s="238"/>
      <c r="AB37" s="238"/>
      <c r="AC37" s="46"/>
      <c r="AD37" s="46"/>
      <c r="AE37" s="46"/>
      <c r="AF37" s="46"/>
      <c r="AG37" s="46"/>
      <c r="AH37" s="46"/>
      <c r="AI37" s="46"/>
      <c r="AJ37" s="46"/>
      <c r="AK37" s="239">
        <f>AK26+AK31</f>
        <v>0</v>
      </c>
      <c r="AL37" s="238"/>
      <c r="AM37" s="238"/>
      <c r="AN37" s="238"/>
      <c r="AO37" s="240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5"/>
    </row>
    <row r="40" spans="2:43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</row>
    <row r="41" spans="2:43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</row>
    <row r="42" spans="2:43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</row>
    <row r="43" spans="2:43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5"/>
    </row>
    <row r="44" spans="2:43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</row>
    <row r="45" spans="2:43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5"/>
    </row>
    <row r="46" spans="2:43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5"/>
    </row>
    <row r="47" spans="2:43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5"/>
    </row>
    <row r="48" spans="2:43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5"/>
    </row>
    <row r="49" spans="2:43" s="1" customFormat="1" ht="15">
      <c r="B49" s="33"/>
      <c r="C49" s="34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47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>
      <c r="B50" s="24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5"/>
    </row>
    <row r="51" spans="2:43">
      <c r="B51" s="24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5"/>
    </row>
    <row r="52" spans="2:43">
      <c r="B52" s="24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5"/>
    </row>
    <row r="53" spans="2:43">
      <c r="B53" s="24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5"/>
    </row>
    <row r="54" spans="2:43">
      <c r="B54" s="24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5"/>
    </row>
    <row r="55" spans="2:43">
      <c r="B55" s="24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5"/>
    </row>
    <row r="56" spans="2:43">
      <c r="B56" s="24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5"/>
    </row>
    <row r="57" spans="2:43">
      <c r="B57" s="24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5"/>
    </row>
    <row r="58" spans="2:43" s="1" customFormat="1" ht="15">
      <c r="B58" s="33"/>
      <c r="C58" s="34"/>
      <c r="D58" s="53" t="s">
        <v>48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49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48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49</v>
      </c>
      <c r="AN58" s="54"/>
      <c r="AO58" s="56"/>
      <c r="AP58" s="34"/>
      <c r="AQ58" s="35"/>
    </row>
    <row r="59" spans="2:43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</row>
    <row r="60" spans="2:43" s="1" customFormat="1" ht="15">
      <c r="B60" s="33"/>
      <c r="C60" s="34"/>
      <c r="D60" s="48" t="s">
        <v>50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51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>
      <c r="B61" s="24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5"/>
    </row>
    <row r="62" spans="2:43">
      <c r="B62" s="24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5"/>
    </row>
    <row r="63" spans="2:43">
      <c r="B63" s="24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5"/>
    </row>
    <row r="64" spans="2:43">
      <c r="B64" s="24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5"/>
    </row>
    <row r="65" spans="2:43">
      <c r="B65" s="24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5"/>
    </row>
    <row r="66" spans="2:43">
      <c r="B66" s="24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5"/>
    </row>
    <row r="67" spans="2:43">
      <c r="B67" s="24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5"/>
    </row>
    <row r="68" spans="2:43">
      <c r="B68" s="24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5"/>
    </row>
    <row r="69" spans="2:43" s="1" customFormat="1" ht="15">
      <c r="B69" s="33"/>
      <c r="C69" s="34"/>
      <c r="D69" s="53" t="s">
        <v>48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49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48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49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>
      <c r="B76" s="33"/>
      <c r="C76" s="241" t="s">
        <v>52</v>
      </c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35"/>
    </row>
    <row r="77" spans="2:43" s="3" customFormat="1" ht="14.45" customHeight="1">
      <c r="B77" s="63"/>
      <c r="C77" s="30" t="s">
        <v>12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2018/010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>
      <c r="B78" s="66"/>
      <c r="C78" s="67" t="s">
        <v>14</v>
      </c>
      <c r="D78" s="68"/>
      <c r="E78" s="68"/>
      <c r="F78" s="68"/>
      <c r="G78" s="68"/>
      <c r="H78" s="68"/>
      <c r="I78" s="68"/>
      <c r="J78" s="68"/>
      <c r="K78" s="68"/>
      <c r="L78" s="234" t="str">
        <f>K6</f>
        <v>Oprava fasády objektů nemocnice Horní Beřkovice</v>
      </c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30" t="s">
        <v>18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HORNÍ BEŘKOVICE, PODŘIPSKÁ 1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20</v>
      </c>
      <c r="AJ80" s="34"/>
      <c r="AK80" s="34"/>
      <c r="AL80" s="34"/>
      <c r="AM80" s="71" t="str">
        <f>IF(AN8= "","",AN8)</f>
        <v>01/2020</v>
      </c>
      <c r="AN80" s="34"/>
      <c r="AO80" s="34"/>
      <c r="AP80" s="34"/>
      <c r="AQ80" s="35"/>
    </row>
    <row r="81" spans="1:56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56" s="1" customFormat="1" ht="15">
      <c r="B82" s="33"/>
      <c r="C82" s="30" t="s">
        <v>21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>PSYCHIATRICKÁ NEMOCNICE HORNÍ BEŘKOVICE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27</v>
      </c>
      <c r="AJ82" s="34"/>
      <c r="AK82" s="34"/>
      <c r="AL82" s="34"/>
      <c r="AM82" s="218" t="str">
        <f>IF(E17="","",E17)</f>
        <v>Starý a partner s.r.o.</v>
      </c>
      <c r="AN82" s="218"/>
      <c r="AO82" s="218"/>
      <c r="AP82" s="218"/>
      <c r="AQ82" s="35"/>
      <c r="AS82" s="214" t="s">
        <v>53</v>
      </c>
      <c r="AT82" s="215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1:56" s="1" customFormat="1" ht="15">
      <c r="B83" s="33"/>
      <c r="C83" s="30" t="s">
        <v>25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 xml:space="preserve"> 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30</v>
      </c>
      <c r="AJ83" s="34"/>
      <c r="AK83" s="34"/>
      <c r="AL83" s="34"/>
      <c r="AM83" s="218" t="str">
        <f>IF(E20="","",E20)</f>
        <v>ww.rozpoct-staveb.cz</v>
      </c>
      <c r="AN83" s="218"/>
      <c r="AO83" s="218"/>
      <c r="AP83" s="218"/>
      <c r="AQ83" s="35"/>
      <c r="AS83" s="216"/>
      <c r="AT83" s="217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1:5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16"/>
      <c r="AT84" s="217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1:56" s="1" customFormat="1" ht="29.25" customHeight="1">
      <c r="B85" s="33"/>
      <c r="C85" s="236" t="s">
        <v>54</v>
      </c>
      <c r="D85" s="220"/>
      <c r="E85" s="220"/>
      <c r="F85" s="220"/>
      <c r="G85" s="220"/>
      <c r="H85" s="73"/>
      <c r="I85" s="219" t="s">
        <v>55</v>
      </c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19" t="s">
        <v>56</v>
      </c>
      <c r="AH85" s="220"/>
      <c r="AI85" s="220"/>
      <c r="AJ85" s="220"/>
      <c r="AK85" s="220"/>
      <c r="AL85" s="220"/>
      <c r="AM85" s="220"/>
      <c r="AN85" s="219" t="s">
        <v>57</v>
      </c>
      <c r="AO85" s="220"/>
      <c r="AP85" s="221"/>
      <c r="AQ85" s="35"/>
      <c r="AS85" s="74" t="s">
        <v>58</v>
      </c>
      <c r="AT85" s="75" t="s">
        <v>59</v>
      </c>
      <c r="AU85" s="75" t="s">
        <v>60</v>
      </c>
      <c r="AV85" s="75" t="s">
        <v>61</v>
      </c>
      <c r="AW85" s="75" t="s">
        <v>62</v>
      </c>
      <c r="AX85" s="75" t="s">
        <v>63</v>
      </c>
      <c r="AY85" s="75" t="s">
        <v>64</v>
      </c>
      <c r="AZ85" s="75" t="s">
        <v>65</v>
      </c>
      <c r="BA85" s="75" t="s">
        <v>66</v>
      </c>
      <c r="BB85" s="75" t="s">
        <v>67</v>
      </c>
      <c r="BC85" s="75" t="s">
        <v>68</v>
      </c>
      <c r="BD85" s="76" t="s">
        <v>69</v>
      </c>
    </row>
    <row r="86" spans="1:5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56" s="4" customFormat="1" ht="32.450000000000003" customHeight="1">
      <c r="B87" s="66"/>
      <c r="C87" s="78" t="s">
        <v>70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22">
        <f>SUM(AG88:AM91)</f>
        <v>0</v>
      </c>
      <c r="AH87" s="222"/>
      <c r="AI87" s="222"/>
      <c r="AJ87" s="222"/>
      <c r="AK87" s="222"/>
      <c r="AL87" s="222"/>
      <c r="AM87" s="222"/>
      <c r="AN87" s="223">
        <f>AN88+AN89+AN90+AN91</f>
        <v>0</v>
      </c>
      <c r="AO87" s="223"/>
      <c r="AP87" s="223"/>
      <c r="AQ87" s="69"/>
      <c r="AS87" s="80">
        <f>ROUND(SUM(AS88:AS91),2)</f>
        <v>0</v>
      </c>
      <c r="AT87" s="81" t="e">
        <f t="shared" ref="AT87:AT91" si="0">ROUND(SUM(AV87:AW87),2)</f>
        <v>#REF!</v>
      </c>
      <c r="AU87" s="82">
        <f>ROUND(SUM(AU88:AU91),5)</f>
        <v>7464.8002800000004</v>
      </c>
      <c r="AV87" s="81">
        <f>ROUND(AZ87*L31,2)</f>
        <v>0</v>
      </c>
      <c r="AW87" s="81" t="e">
        <f>ROUND(BA87*L32,2)</f>
        <v>#REF!</v>
      </c>
      <c r="AX87" s="81">
        <f>ROUND(BB87*L31,2)</f>
        <v>0</v>
      </c>
      <c r="AY87" s="81">
        <f>ROUND(BC87*L32,2)</f>
        <v>0</v>
      </c>
      <c r="AZ87" s="81">
        <f>ROUND(SUM(AZ88:AZ91),2)</f>
        <v>0</v>
      </c>
      <c r="BA87" s="81" t="e">
        <f>ROUND(SUM(BA88:BA91),2)</f>
        <v>#REF!</v>
      </c>
      <c r="BB87" s="81">
        <f>ROUND(SUM(BB88:BB91),2)</f>
        <v>0</v>
      </c>
      <c r="BC87" s="81">
        <f>ROUND(SUM(BC88:BC91),2)</f>
        <v>0</v>
      </c>
      <c r="BD87" s="83">
        <f>ROUND(SUM(BD88:BD91),2)</f>
        <v>0</v>
      </c>
    </row>
    <row r="88" spans="1:56" s="5" customFormat="1" ht="31.5" customHeight="1">
      <c r="A88" s="84" t="s">
        <v>72</v>
      </c>
      <c r="B88" s="85"/>
      <c r="C88" s="86"/>
      <c r="D88" s="224" t="s">
        <v>74</v>
      </c>
      <c r="E88" s="224"/>
      <c r="F88" s="224"/>
      <c r="G88" s="224"/>
      <c r="H88" s="224"/>
      <c r="I88" s="87"/>
      <c r="J88" s="224" t="s">
        <v>75</v>
      </c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5">
        <f>'2018-010-b - Fasáda objek...'!AD30</f>
        <v>0</v>
      </c>
      <c r="AH88" s="226"/>
      <c r="AI88" s="226"/>
      <c r="AJ88" s="226"/>
      <c r="AK88" s="226"/>
      <c r="AL88" s="226"/>
      <c r="AM88" s="226"/>
      <c r="AN88" s="225">
        <f>AG88*1.21</f>
        <v>0</v>
      </c>
      <c r="AO88" s="226"/>
      <c r="AP88" s="226"/>
      <c r="AQ88" s="88"/>
      <c r="AS88" s="89">
        <f>'2018-010-b - Fasáda objek...'!M28</f>
        <v>0</v>
      </c>
      <c r="AT88" s="90">
        <f t="shared" si="0"/>
        <v>0</v>
      </c>
      <c r="AU88" s="91">
        <f>'2018-010-b - Fasáda objek...'!W118</f>
        <v>3691.9047909999999</v>
      </c>
      <c r="AV88" s="90">
        <f>'2018-010-b - Fasáda objek...'!M32</f>
        <v>0</v>
      </c>
      <c r="AW88" s="90">
        <f>'2018-010-b - Fasáda objek...'!M33</f>
        <v>0</v>
      </c>
      <c r="AX88" s="90">
        <f>'2018-010-b - Fasáda objek...'!M34</f>
        <v>0</v>
      </c>
      <c r="AY88" s="90">
        <f>'2018-010-b - Fasáda objek...'!M35</f>
        <v>0</v>
      </c>
      <c r="AZ88" s="90">
        <f>'2018-010-b - Fasáda objek...'!H32</f>
        <v>0</v>
      </c>
      <c r="BA88" s="90">
        <f>'2018-010-b - Fasáda objek...'!H33</f>
        <v>0</v>
      </c>
      <c r="BB88" s="90">
        <f>'2018-010-b - Fasáda objek...'!H34</f>
        <v>0</v>
      </c>
      <c r="BC88" s="90">
        <f>'2018-010-b - Fasáda objek...'!H35</f>
        <v>0</v>
      </c>
      <c r="BD88" s="92">
        <f>'2018-010-b - Fasáda objek...'!H36</f>
        <v>0</v>
      </c>
    </row>
    <row r="89" spans="1:56" s="5" customFormat="1" ht="31.5" customHeight="1">
      <c r="A89" s="84" t="s">
        <v>72</v>
      </c>
      <c r="B89" s="85"/>
      <c r="C89" s="86"/>
      <c r="D89" s="224" t="s">
        <v>76</v>
      </c>
      <c r="E89" s="224"/>
      <c r="F89" s="224"/>
      <c r="G89" s="224"/>
      <c r="H89" s="224"/>
      <c r="I89" s="87"/>
      <c r="J89" s="224" t="s">
        <v>77</v>
      </c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5">
        <f>'2018-010-e - Elektroinsta...'!AC30</f>
        <v>0</v>
      </c>
      <c r="AH89" s="226"/>
      <c r="AI89" s="226"/>
      <c r="AJ89" s="226"/>
      <c r="AK89" s="226"/>
      <c r="AL89" s="226"/>
      <c r="AM89" s="226"/>
      <c r="AN89" s="225">
        <f>AG89*1.21</f>
        <v>0</v>
      </c>
      <c r="AO89" s="226"/>
      <c r="AP89" s="226"/>
      <c r="AQ89" s="88"/>
      <c r="AS89" s="89">
        <f>'2018-010-e - Elektroinsta...'!M28</f>
        <v>0</v>
      </c>
      <c r="AT89" s="90">
        <f t="shared" si="0"/>
        <v>0</v>
      </c>
      <c r="AU89" s="91">
        <f>'2018-010-e - Elektroinsta...'!W113</f>
        <v>0</v>
      </c>
      <c r="AV89" s="90">
        <f>'2018-010-e - Elektroinsta...'!M32</f>
        <v>0</v>
      </c>
      <c r="AW89" s="90">
        <f>'2018-010-e - Elektroinsta...'!M33</f>
        <v>0</v>
      </c>
      <c r="AX89" s="90">
        <f>'2018-010-e - Elektroinsta...'!M34</f>
        <v>0</v>
      </c>
      <c r="AY89" s="90">
        <f>'2018-010-e - Elektroinsta...'!M35</f>
        <v>0</v>
      </c>
      <c r="AZ89" s="90">
        <f>'2018-010-e - Elektroinsta...'!H32</f>
        <v>0</v>
      </c>
      <c r="BA89" s="90">
        <f>'2018-010-e - Elektroinsta...'!H33</f>
        <v>0</v>
      </c>
      <c r="BB89" s="90">
        <f>'2018-010-e - Elektroinsta...'!H34</f>
        <v>0</v>
      </c>
      <c r="BC89" s="90">
        <f>'2018-010-e - Elektroinsta...'!H35</f>
        <v>0</v>
      </c>
      <c r="BD89" s="92">
        <f>'2018-010-e - Elektroinsta...'!H36</f>
        <v>0</v>
      </c>
    </row>
    <row r="90" spans="1:56" s="5" customFormat="1" ht="31.5" customHeight="1">
      <c r="A90" s="84" t="s">
        <v>72</v>
      </c>
      <c r="B90" s="85"/>
      <c r="C90" s="86"/>
      <c r="D90" s="224" t="s">
        <v>78</v>
      </c>
      <c r="E90" s="224"/>
      <c r="F90" s="224"/>
      <c r="G90" s="224"/>
      <c r="H90" s="224"/>
      <c r="I90" s="87"/>
      <c r="J90" s="224" t="s">
        <v>79</v>
      </c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5">
        <f>'2018-010-c - Fasáda objek...'!AD30</f>
        <v>0</v>
      </c>
      <c r="AH90" s="226"/>
      <c r="AI90" s="226"/>
      <c r="AJ90" s="226"/>
      <c r="AK90" s="226"/>
      <c r="AL90" s="226"/>
      <c r="AM90" s="226"/>
      <c r="AN90" s="225">
        <f>AG90*1.21</f>
        <v>0</v>
      </c>
      <c r="AO90" s="226"/>
      <c r="AP90" s="226"/>
      <c r="AQ90" s="88"/>
      <c r="AS90" s="89">
        <f>'2018-010-c - Fasáda objek...'!M28</f>
        <v>0</v>
      </c>
      <c r="AT90" s="90">
        <f t="shared" si="0"/>
        <v>0</v>
      </c>
      <c r="AU90" s="91">
        <f>'2018-010-c - Fasáda objek...'!W118</f>
        <v>3772.8954920000006</v>
      </c>
      <c r="AV90" s="90">
        <f>'2018-010-c - Fasáda objek...'!M32</f>
        <v>0</v>
      </c>
      <c r="AW90" s="90">
        <f>'2018-010-c - Fasáda objek...'!M33</f>
        <v>0</v>
      </c>
      <c r="AX90" s="90">
        <f>'2018-010-c - Fasáda objek...'!M34</f>
        <v>0</v>
      </c>
      <c r="AY90" s="90">
        <f>'2018-010-c - Fasáda objek...'!M35</f>
        <v>0</v>
      </c>
      <c r="AZ90" s="90">
        <f>'2018-010-c - Fasáda objek...'!H32</f>
        <v>0</v>
      </c>
      <c r="BA90" s="90">
        <f>'2018-010-c - Fasáda objek...'!H33</f>
        <v>0</v>
      </c>
      <c r="BB90" s="90">
        <f>'2018-010-c - Fasáda objek...'!H34</f>
        <v>0</v>
      </c>
      <c r="BC90" s="90">
        <f>'2018-010-c - Fasáda objek...'!H35</f>
        <v>0</v>
      </c>
      <c r="BD90" s="92">
        <f>'2018-010-c - Fasáda objek...'!H36</f>
        <v>0</v>
      </c>
    </row>
    <row r="91" spans="1:56" s="5" customFormat="1" ht="31.5" customHeight="1">
      <c r="A91" s="84" t="s">
        <v>72</v>
      </c>
      <c r="B91" s="85"/>
      <c r="C91" s="86"/>
      <c r="D91" s="224" t="s">
        <v>80</v>
      </c>
      <c r="E91" s="224"/>
      <c r="F91" s="224"/>
      <c r="G91" s="224"/>
      <c r="H91" s="224"/>
      <c r="I91" s="87"/>
      <c r="J91" s="224" t="s">
        <v>81</v>
      </c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5">
        <f>'2018-010-f - Elektroinsta...'!AC27</f>
        <v>0</v>
      </c>
      <c r="AH91" s="226"/>
      <c r="AI91" s="226"/>
      <c r="AJ91" s="226"/>
      <c r="AK91" s="226"/>
      <c r="AL91" s="226"/>
      <c r="AM91" s="226"/>
      <c r="AN91" s="225">
        <f>AG91*1.21</f>
        <v>0</v>
      </c>
      <c r="AO91" s="226"/>
      <c r="AP91" s="226"/>
      <c r="AQ91" s="88"/>
      <c r="AS91" s="93">
        <f>'2018-010-f - Elektroinsta...'!M28</f>
        <v>0</v>
      </c>
      <c r="AT91" s="94" t="e">
        <f t="shared" si="0"/>
        <v>#REF!</v>
      </c>
      <c r="AU91" s="95">
        <f>'2018-010-f - Elektroinsta...'!W113</f>
        <v>0</v>
      </c>
      <c r="AV91" s="94">
        <f>'2018-010-f - Elektroinsta...'!M32</f>
        <v>0</v>
      </c>
      <c r="AW91" s="94" t="e">
        <f>'2018-010-f - Elektroinsta...'!M33</f>
        <v>#REF!</v>
      </c>
      <c r="AX91" s="94">
        <f>'2018-010-f - Elektroinsta...'!M34</f>
        <v>0</v>
      </c>
      <c r="AY91" s="94">
        <f>'2018-010-f - Elektroinsta...'!M35</f>
        <v>0</v>
      </c>
      <c r="AZ91" s="94">
        <f>'2018-010-f - Elektroinsta...'!H32</f>
        <v>0</v>
      </c>
      <c r="BA91" s="94" t="e">
        <f>'2018-010-f - Elektroinsta...'!H33</f>
        <v>#REF!</v>
      </c>
      <c r="BB91" s="94">
        <f>'2018-010-f - Elektroinsta...'!H34</f>
        <v>0</v>
      </c>
      <c r="BC91" s="94">
        <f>'2018-010-f - Elektroinsta...'!H35</f>
        <v>0</v>
      </c>
      <c r="BD91" s="96">
        <f>'2018-010-f - Elektroinsta...'!H36</f>
        <v>0</v>
      </c>
    </row>
    <row r="92" spans="1:56">
      <c r="B92" s="24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5"/>
    </row>
    <row r="93" spans="1:56" s="1" customFormat="1" ht="30" customHeight="1">
      <c r="B93" s="33"/>
      <c r="C93" s="78" t="s">
        <v>82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223">
        <v>0</v>
      </c>
      <c r="AH93" s="223"/>
      <c r="AI93" s="223"/>
      <c r="AJ93" s="223"/>
      <c r="AK93" s="223"/>
      <c r="AL93" s="223"/>
      <c r="AM93" s="223"/>
      <c r="AN93" s="223">
        <v>0</v>
      </c>
      <c r="AO93" s="223"/>
      <c r="AP93" s="223"/>
      <c r="AQ93" s="35"/>
      <c r="AS93" s="74" t="s">
        <v>83</v>
      </c>
      <c r="AT93" s="75" t="s">
        <v>84</v>
      </c>
      <c r="AU93" s="75" t="s">
        <v>36</v>
      </c>
      <c r="AV93" s="76" t="s">
        <v>59</v>
      </c>
    </row>
    <row r="94" spans="1:56" s="1" customFormat="1" ht="10.9" customHeight="1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5"/>
      <c r="AS94" s="97"/>
      <c r="AT94" s="54"/>
      <c r="AU94" s="54"/>
      <c r="AV94" s="56"/>
    </row>
    <row r="95" spans="1:56" s="1" customFormat="1" ht="30" customHeight="1">
      <c r="B95" s="33"/>
      <c r="C95" s="98" t="s">
        <v>85</v>
      </c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227">
        <f>ROUND(AG87+AG93,2)</f>
        <v>0</v>
      </c>
      <c r="AH95" s="227"/>
      <c r="AI95" s="227"/>
      <c r="AJ95" s="227"/>
      <c r="AK95" s="227"/>
      <c r="AL95" s="227"/>
      <c r="AM95" s="227"/>
      <c r="AN95" s="227">
        <f>AN87+AN93</f>
        <v>0</v>
      </c>
      <c r="AO95" s="227"/>
      <c r="AP95" s="227"/>
      <c r="AQ95" s="35"/>
    </row>
    <row r="96" spans="1:56" s="1" customFormat="1" ht="6.95" customHeight="1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9"/>
    </row>
  </sheetData>
  <sheetProtection algorithmName="SHA-512" hashValue="fs5BMn07TaI7uSVQlhi4b8QyUvjXQTm86F2TPQKV1Mwvn2rWrDVMqyvQaE9AQpfWpRsCiAXCSTe4dS7gWQpDAg==" saltValue="PpM80iZL3jvU/XtOgqTHAA==" spinCount="100000" sheet="1" objects="1" scenarios="1" selectLockedCells="1" selectUnlockedCells="1"/>
  <customSheetViews>
    <customSheetView guid="{182649BD-95A6-4BAE-AF43-DC5E29303FC2}" showGridLines="0" fitToPage="1" hiddenRows="1" hiddenColumns="1">
      <pane ySplit="1" topLeftCell="A66" activePane="bottomLeft" state="frozen"/>
      <selection pane="bottomLeft" activeCell="AG91" sqref="AG91:AM91"/>
      <pageMargins left="0.58333330000000005" right="0.58333330000000005" top="0.5" bottom="0.46666669999999999" header="0" footer="0"/>
      <pageSetup paperSize="9" fitToHeight="100" orientation="portrait" blackAndWhite="1" r:id="rId1"/>
      <headerFooter>
        <oddFooter>&amp;CStrana &amp;P z &amp;N</oddFooter>
      </headerFooter>
    </customSheetView>
  </customSheetViews>
  <mergeCells count="57">
    <mergeCell ref="AK34:AO34"/>
    <mergeCell ref="AR2:BD2"/>
    <mergeCell ref="C2:AP2"/>
    <mergeCell ref="C4:AP4"/>
    <mergeCell ref="K5:AO5"/>
    <mergeCell ref="K6:AO6"/>
    <mergeCell ref="AK32:AO32"/>
    <mergeCell ref="W32:AE32"/>
    <mergeCell ref="L33:O33"/>
    <mergeCell ref="L32:O32"/>
    <mergeCell ref="L34:O34"/>
    <mergeCell ref="W33:AE33"/>
    <mergeCell ref="AK33:AO33"/>
    <mergeCell ref="W34:AE34"/>
    <mergeCell ref="E23:AN23"/>
    <mergeCell ref="AK26:AO26"/>
    <mergeCell ref="L78:AO78"/>
    <mergeCell ref="C85:G85"/>
    <mergeCell ref="I85:AF85"/>
    <mergeCell ref="AG85:AM85"/>
    <mergeCell ref="L35:O35"/>
    <mergeCell ref="W35:AE35"/>
    <mergeCell ref="AK35:AO35"/>
    <mergeCell ref="X37:AB37"/>
    <mergeCell ref="AK37:AO37"/>
    <mergeCell ref="C76:AP76"/>
    <mergeCell ref="AK27:AO27"/>
    <mergeCell ref="AK29:AO29"/>
    <mergeCell ref="W31:AE31"/>
    <mergeCell ref="AK31:AO31"/>
    <mergeCell ref="L31:O31"/>
    <mergeCell ref="AG95:AM95"/>
    <mergeCell ref="AN91:AP91"/>
    <mergeCell ref="AN90:AP90"/>
    <mergeCell ref="AG90:AM90"/>
    <mergeCell ref="AG91:AM91"/>
    <mergeCell ref="AG93:AM93"/>
    <mergeCell ref="AN93:AP93"/>
    <mergeCell ref="AN95:AP95"/>
    <mergeCell ref="D90:H90"/>
    <mergeCell ref="J90:AF90"/>
    <mergeCell ref="D91:H91"/>
    <mergeCell ref="J91:AF91"/>
    <mergeCell ref="AM82:AP82"/>
    <mergeCell ref="AN88:AP88"/>
    <mergeCell ref="AG88:AM88"/>
    <mergeCell ref="AN89:AP89"/>
    <mergeCell ref="AG89:AM89"/>
    <mergeCell ref="D88:H88"/>
    <mergeCell ref="J88:AF88"/>
    <mergeCell ref="D89:H89"/>
    <mergeCell ref="J89:AF89"/>
    <mergeCell ref="AS82:AT84"/>
    <mergeCell ref="AM83:AP83"/>
    <mergeCell ref="AN85:AP85"/>
    <mergeCell ref="AG87:AM87"/>
    <mergeCell ref="AN87:AP87"/>
  </mergeCells>
  <hyperlinks>
    <hyperlink ref="K1:S1" location="C2" display="1) Souhrnný list stavby"/>
    <hyperlink ref="W1:AF1" location="C87" display="2) Rekapitulace objektů"/>
    <hyperlink ref="A88" location="'2018-010-b - Fasáda objek...'!C2" display="/"/>
    <hyperlink ref="A89" location="'2018-010-e - Elektroinsta...'!C2" display="/"/>
    <hyperlink ref="A90" location="'2018-010-c - Fasáda objek...'!C2" display="/"/>
    <hyperlink ref="A91" location="'2018-010-f - Elektroinsta...'!C2" display="/"/>
  </hyperlinks>
  <pageMargins left="0.58333330000000005" right="0.58333330000000005" top="0.5" bottom="0.46666669999999999" header="0" footer="0"/>
  <pageSetup paperSize="9" fitToHeight="100" orientation="portrait" blackAndWhite="1" r:id="rId2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79"/>
  <sheetViews>
    <sheetView showGridLines="0" zoomScaleNormal="100" workbookViewId="0">
      <pane ySplit="1" topLeftCell="A214" activePane="bottomLeft" state="frozen"/>
      <selection pane="bottomLeft" activeCell="O17" sqref="O17:P1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3.6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.33203125" customWidth="1"/>
    <col min="30" max="30" width="8.33203125" style="172" customWidth="1"/>
    <col min="31" max="48" width="9.33203125" hidden="1"/>
    <col min="50" max="50" width="10.33203125" bestFit="1" customWidth="1"/>
  </cols>
  <sheetData>
    <row r="1" spans="1:49" ht="21.75" customHeight="1">
      <c r="A1" s="100"/>
      <c r="B1" s="14"/>
      <c r="C1" s="14"/>
      <c r="D1" s="15" t="s">
        <v>1</v>
      </c>
      <c r="E1" s="14"/>
      <c r="F1" s="16" t="s">
        <v>86</v>
      </c>
      <c r="G1" s="16"/>
      <c r="H1" s="285" t="s">
        <v>87</v>
      </c>
      <c r="I1" s="285"/>
      <c r="J1" s="285"/>
      <c r="K1" s="285"/>
      <c r="L1" s="16" t="s">
        <v>88</v>
      </c>
      <c r="M1" s="14"/>
      <c r="N1" s="14"/>
      <c r="O1" s="15" t="s">
        <v>89</v>
      </c>
      <c r="P1" s="14"/>
      <c r="Q1" s="14"/>
      <c r="R1" s="14"/>
      <c r="S1" s="16" t="s">
        <v>90</v>
      </c>
      <c r="T1" s="16"/>
      <c r="U1" s="100"/>
      <c r="V1" s="100"/>
      <c r="W1" s="17"/>
      <c r="X1" s="17"/>
      <c r="Y1" s="17"/>
      <c r="Z1" s="17"/>
      <c r="AA1" s="17"/>
      <c r="AB1" s="17"/>
      <c r="AC1" s="17"/>
      <c r="AD1" s="100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ht="36.950000000000003" customHeight="1">
      <c r="C2" s="298" t="s">
        <v>6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S2" s="243" t="s">
        <v>7</v>
      </c>
      <c r="T2" s="243"/>
      <c r="U2" s="243"/>
      <c r="V2" s="243"/>
      <c r="W2" s="243"/>
      <c r="X2" s="243"/>
      <c r="Y2" s="243"/>
      <c r="Z2" s="243"/>
      <c r="AA2" s="243"/>
      <c r="AB2" s="243"/>
      <c r="AC2" s="243"/>
    </row>
    <row r="3" spans="1:49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49" ht="36.950000000000003" customHeight="1">
      <c r="B4" s="24"/>
      <c r="C4" s="241" t="s">
        <v>92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5"/>
      <c r="T4" s="19" t="s">
        <v>11</v>
      </c>
    </row>
    <row r="5" spans="1:49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1:49" ht="25.35" customHeight="1">
      <c r="B6" s="24"/>
      <c r="C6" s="26"/>
      <c r="D6" s="30" t="s">
        <v>14</v>
      </c>
      <c r="E6" s="26"/>
      <c r="F6" s="272" t="str">
        <f>'Rekapitulace stavby'!K6</f>
        <v>Oprava fasády objektů nemocnice Horní Beřkovice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6"/>
      <c r="R6" s="25"/>
    </row>
    <row r="7" spans="1:49" s="1" customFormat="1" ht="32.85" customHeight="1">
      <c r="B7" s="33"/>
      <c r="C7" s="34"/>
      <c r="D7" s="29" t="s">
        <v>93</v>
      </c>
      <c r="E7" s="34"/>
      <c r="F7" s="249" t="s">
        <v>330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34"/>
      <c r="R7" s="35"/>
    </row>
    <row r="8" spans="1:49" s="1" customFormat="1" ht="14.45" customHeight="1">
      <c r="B8" s="33"/>
      <c r="C8" s="34"/>
      <c r="D8" s="30" t="s">
        <v>16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17</v>
      </c>
      <c r="N8" s="34"/>
      <c r="O8" s="28" t="s">
        <v>5</v>
      </c>
      <c r="P8" s="34"/>
      <c r="Q8" s="34"/>
      <c r="R8" s="35"/>
    </row>
    <row r="9" spans="1:49" s="1" customFormat="1" ht="14.45" customHeight="1">
      <c r="B9" s="33"/>
      <c r="C9" s="34"/>
      <c r="D9" s="30" t="s">
        <v>18</v>
      </c>
      <c r="E9" s="34"/>
      <c r="F9" s="28" t="s">
        <v>19</v>
      </c>
      <c r="G9" s="34"/>
      <c r="H9" s="34"/>
      <c r="I9" s="34"/>
      <c r="J9" s="34"/>
      <c r="K9" s="34"/>
      <c r="L9" s="34"/>
      <c r="M9" s="30" t="s">
        <v>20</v>
      </c>
      <c r="N9" s="34"/>
      <c r="O9" s="291" t="s">
        <v>474</v>
      </c>
      <c r="P9" s="290"/>
      <c r="Q9" s="34"/>
      <c r="R9" s="35"/>
    </row>
    <row r="10" spans="1:49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181"/>
      <c r="P10" s="181"/>
      <c r="Q10" s="34"/>
      <c r="R10" s="35"/>
    </row>
    <row r="11" spans="1:49" s="1" customFormat="1" ht="14.45" customHeight="1">
      <c r="B11" s="33"/>
      <c r="C11" s="34"/>
      <c r="D11" s="30" t="s">
        <v>21</v>
      </c>
      <c r="E11" s="34"/>
      <c r="F11" s="34"/>
      <c r="G11" s="34"/>
      <c r="H11" s="34"/>
      <c r="I11" s="34"/>
      <c r="J11" s="34"/>
      <c r="K11" s="34"/>
      <c r="L11" s="34"/>
      <c r="M11" s="30" t="s">
        <v>22</v>
      </c>
      <c r="N11" s="34"/>
      <c r="O11" s="291" t="s">
        <v>473</v>
      </c>
      <c r="P11" s="290"/>
      <c r="Q11" s="34"/>
      <c r="R11" s="35"/>
    </row>
    <row r="12" spans="1:49" s="1" customFormat="1" ht="18" customHeight="1">
      <c r="B12" s="33"/>
      <c r="C12" s="34"/>
      <c r="D12" s="34"/>
      <c r="E12" s="28" t="s">
        <v>23</v>
      </c>
      <c r="F12" s="34"/>
      <c r="G12" s="34"/>
      <c r="H12" s="34"/>
      <c r="I12" s="34"/>
      <c r="J12" s="34"/>
      <c r="K12" s="34"/>
      <c r="L12" s="34"/>
      <c r="M12" s="30" t="s">
        <v>24</v>
      </c>
      <c r="N12" s="34"/>
      <c r="O12" s="290" t="s">
        <v>5</v>
      </c>
      <c r="P12" s="290"/>
      <c r="Q12" s="34"/>
      <c r="R12" s="35"/>
    </row>
    <row r="13" spans="1:49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181"/>
      <c r="P13" s="181"/>
      <c r="Q13" s="34"/>
      <c r="R13" s="35"/>
    </row>
    <row r="14" spans="1:49" s="1" customFormat="1" ht="14.45" customHeight="1">
      <c r="B14" s="33"/>
      <c r="C14" s="34"/>
      <c r="D14" s="30" t="s">
        <v>25</v>
      </c>
      <c r="E14" s="34"/>
      <c r="F14" s="34"/>
      <c r="G14" s="34"/>
      <c r="H14" s="34"/>
      <c r="I14" s="34"/>
      <c r="J14" s="34"/>
      <c r="K14" s="34"/>
      <c r="L14" s="34"/>
      <c r="M14" s="30" t="s">
        <v>22</v>
      </c>
      <c r="N14" s="34"/>
      <c r="O14" s="290" t="str">
        <f>IF('Rekapitulace stavby'!AN13="","",'Rekapitulace stavby'!AN13)</f>
        <v/>
      </c>
      <c r="P14" s="290"/>
      <c r="Q14" s="34"/>
      <c r="R14" s="35"/>
    </row>
    <row r="15" spans="1:49" s="1" customFormat="1" ht="18" customHeight="1">
      <c r="B15" s="33"/>
      <c r="C15" s="34"/>
      <c r="D15" s="34"/>
      <c r="E15" s="28" t="str">
        <f>IF('Rekapitulace stavby'!E14="","",'Rekapitulace stavby'!E14)</f>
        <v xml:space="preserve"> </v>
      </c>
      <c r="F15" s="34"/>
      <c r="G15" s="34"/>
      <c r="H15" s="34"/>
      <c r="I15" s="34"/>
      <c r="J15" s="34"/>
      <c r="K15" s="34"/>
      <c r="L15" s="34"/>
      <c r="M15" s="30" t="s">
        <v>24</v>
      </c>
      <c r="N15" s="34"/>
      <c r="O15" s="290" t="str">
        <f>IF('Rekapitulace stavby'!AN14="","",'Rekapitulace stavby'!AN14)</f>
        <v/>
      </c>
      <c r="P15" s="290"/>
      <c r="Q15" s="34"/>
      <c r="R15" s="35"/>
    </row>
    <row r="16" spans="1:49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181"/>
      <c r="P16" s="181"/>
      <c r="Q16" s="34"/>
      <c r="R16" s="35"/>
    </row>
    <row r="17" spans="2:30" s="1" customFormat="1" ht="14.45" customHeight="1">
      <c r="B17" s="33"/>
      <c r="C17" s="34"/>
      <c r="D17" s="30" t="s">
        <v>27</v>
      </c>
      <c r="E17" s="34"/>
      <c r="F17" s="34"/>
      <c r="G17" s="34"/>
      <c r="H17" s="34"/>
      <c r="I17" s="34"/>
      <c r="J17" s="34"/>
      <c r="K17" s="34"/>
      <c r="L17" s="34"/>
      <c r="M17" s="30" t="s">
        <v>22</v>
      </c>
      <c r="N17" s="34"/>
      <c r="O17" s="290" t="s">
        <v>5</v>
      </c>
      <c r="P17" s="290"/>
      <c r="Q17" s="34"/>
      <c r="R17" s="35"/>
    </row>
    <row r="18" spans="2:30" s="1" customFormat="1" ht="18" customHeight="1">
      <c r="B18" s="33"/>
      <c r="C18" s="34"/>
      <c r="D18" s="34"/>
      <c r="E18" s="28" t="s">
        <v>28</v>
      </c>
      <c r="F18" s="34"/>
      <c r="G18" s="34"/>
      <c r="H18" s="34"/>
      <c r="I18" s="34"/>
      <c r="J18" s="34"/>
      <c r="K18" s="34"/>
      <c r="L18" s="34"/>
      <c r="M18" s="30" t="s">
        <v>24</v>
      </c>
      <c r="N18" s="34"/>
      <c r="O18" s="290" t="s">
        <v>5</v>
      </c>
      <c r="P18" s="290"/>
      <c r="Q18" s="34"/>
      <c r="R18" s="35"/>
    </row>
    <row r="19" spans="2:30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81"/>
      <c r="P19" s="181"/>
      <c r="Q19" s="34"/>
      <c r="R19" s="35"/>
    </row>
    <row r="20" spans="2:30" s="1" customFormat="1" ht="14.45" customHeight="1">
      <c r="B20" s="33"/>
      <c r="C20" s="34"/>
      <c r="D20" s="30" t="s">
        <v>30</v>
      </c>
      <c r="E20" s="34"/>
      <c r="F20" s="34"/>
      <c r="G20" s="34"/>
      <c r="H20" s="34"/>
      <c r="I20" s="34"/>
      <c r="J20" s="34"/>
      <c r="K20" s="34"/>
      <c r="L20" s="34"/>
      <c r="M20" s="30" t="s">
        <v>22</v>
      </c>
      <c r="N20" s="34"/>
      <c r="O20" s="247" t="s">
        <v>5</v>
      </c>
      <c r="P20" s="247"/>
      <c r="Q20" s="34"/>
      <c r="R20" s="35"/>
    </row>
    <row r="21" spans="2:30" s="1" customFormat="1" ht="18" customHeight="1">
      <c r="B21" s="33"/>
      <c r="C21" s="34"/>
      <c r="D21" s="34"/>
      <c r="E21" s="28"/>
      <c r="F21" s="34"/>
      <c r="G21" s="34"/>
      <c r="H21" s="34"/>
      <c r="I21" s="34"/>
      <c r="J21" s="34"/>
      <c r="K21" s="34"/>
      <c r="L21" s="34"/>
      <c r="M21" s="30" t="s">
        <v>24</v>
      </c>
      <c r="N21" s="34"/>
      <c r="O21" s="247" t="s">
        <v>5</v>
      </c>
      <c r="P21" s="247"/>
      <c r="Q21" s="34"/>
      <c r="R21" s="35"/>
    </row>
    <row r="22" spans="2:30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30" s="1" customFormat="1" ht="14.45" customHeight="1">
      <c r="B23" s="33"/>
      <c r="C23" s="34"/>
      <c r="D23" s="30" t="s">
        <v>32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30" s="1" customFormat="1" ht="16.5" customHeight="1">
      <c r="B24" s="33"/>
      <c r="C24" s="34"/>
      <c r="D24" s="34"/>
      <c r="E24" s="250" t="s">
        <v>5</v>
      </c>
      <c r="F24" s="250"/>
      <c r="G24" s="250"/>
      <c r="H24" s="250"/>
      <c r="I24" s="250"/>
      <c r="J24" s="250"/>
      <c r="K24" s="250"/>
      <c r="L24" s="250"/>
      <c r="M24" s="34"/>
      <c r="N24" s="34"/>
      <c r="O24" s="34"/>
      <c r="P24" s="34"/>
      <c r="Q24" s="34"/>
      <c r="R24" s="35"/>
    </row>
    <row r="25" spans="2:30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30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30" s="1" customFormat="1" ht="14.45" customHeight="1">
      <c r="B27" s="33"/>
      <c r="C27" s="34"/>
      <c r="D27" s="101" t="s">
        <v>94</v>
      </c>
      <c r="E27" s="34"/>
      <c r="F27" s="34"/>
      <c r="G27" s="34"/>
      <c r="H27" s="34"/>
      <c r="I27" s="34"/>
      <c r="J27" s="34"/>
      <c r="K27" s="34"/>
      <c r="L27" s="34"/>
      <c r="M27" s="228">
        <f>N88</f>
        <v>0</v>
      </c>
      <c r="N27" s="228"/>
      <c r="O27" s="228"/>
      <c r="P27" s="228"/>
      <c r="Q27" s="34"/>
      <c r="R27" s="35"/>
    </row>
    <row r="28" spans="2:30" s="1" customFormat="1" ht="14.45" customHeight="1">
      <c r="B28" s="33"/>
      <c r="C28" s="34"/>
      <c r="D28" s="32" t="s">
        <v>95</v>
      </c>
      <c r="E28" s="34"/>
      <c r="F28" s="34"/>
      <c r="G28" s="34"/>
      <c r="H28" s="34"/>
      <c r="I28" s="34"/>
      <c r="J28" s="34"/>
      <c r="K28" s="34"/>
      <c r="L28" s="34"/>
      <c r="M28" s="228">
        <f>N99</f>
        <v>0</v>
      </c>
      <c r="N28" s="228"/>
      <c r="O28" s="228"/>
      <c r="P28" s="228"/>
      <c r="Q28" s="34"/>
      <c r="R28" s="35"/>
    </row>
    <row r="29" spans="2:30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30" s="1" customFormat="1" ht="25.35" customHeight="1">
      <c r="B30" s="33"/>
      <c r="C30" s="34"/>
      <c r="D30" s="102" t="s">
        <v>35</v>
      </c>
      <c r="E30" s="34"/>
      <c r="F30" s="34"/>
      <c r="G30" s="34"/>
      <c r="H30" s="34"/>
      <c r="I30" s="34"/>
      <c r="J30" s="34"/>
      <c r="K30" s="34"/>
      <c r="L30" s="34"/>
      <c r="M30" s="286">
        <f>ROUND(M27+M28,2)</f>
        <v>0</v>
      </c>
      <c r="N30" s="271"/>
      <c r="O30" s="271"/>
      <c r="P30" s="271"/>
      <c r="Q30" s="34"/>
      <c r="R30" s="35"/>
      <c r="AD30" s="210">
        <f>M30</f>
        <v>0</v>
      </c>
    </row>
    <row r="31" spans="2:30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30" s="1" customFormat="1" ht="14.45" customHeight="1">
      <c r="B32" s="33"/>
      <c r="C32" s="34"/>
      <c r="D32" s="40" t="s">
        <v>36</v>
      </c>
      <c r="E32" s="40" t="s">
        <v>37</v>
      </c>
      <c r="F32" s="41">
        <v>0.21</v>
      </c>
      <c r="G32" s="103" t="s">
        <v>38</v>
      </c>
      <c r="H32" s="287">
        <f>ROUND((SUM(AN99:AN100)+SUM(AN118:AN274)), 2)</f>
        <v>0</v>
      </c>
      <c r="I32" s="271"/>
      <c r="J32" s="271"/>
      <c r="K32" s="34"/>
      <c r="L32" s="34"/>
      <c r="M32" s="287">
        <f>M30*0.21</f>
        <v>0</v>
      </c>
      <c r="N32" s="271"/>
      <c r="O32" s="271"/>
      <c r="P32" s="271"/>
      <c r="Q32" s="34"/>
      <c r="R32" s="35"/>
    </row>
    <row r="33" spans="2:18" s="1" customFormat="1" ht="14.45" customHeight="1">
      <c r="B33" s="33"/>
      <c r="C33" s="34"/>
      <c r="D33" s="34"/>
      <c r="E33" s="40" t="s">
        <v>39</v>
      </c>
      <c r="F33" s="41">
        <v>0.15</v>
      </c>
      <c r="G33" s="103" t="s">
        <v>38</v>
      </c>
      <c r="H33" s="287">
        <f>ROUND((SUM(AO99:AO100)+SUM(AO118:AO274)), 2)</f>
        <v>0</v>
      </c>
      <c r="I33" s="271"/>
      <c r="J33" s="271"/>
      <c r="K33" s="34"/>
      <c r="L33" s="34"/>
      <c r="M33" s="287">
        <f>ROUND(ROUND((SUM(AO99:AO100)+SUM(AO118:AO274)), 2)*F33, 2)</f>
        <v>0</v>
      </c>
      <c r="N33" s="271"/>
      <c r="O33" s="271"/>
      <c r="P33" s="271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40</v>
      </c>
      <c r="F34" s="41">
        <v>0.21</v>
      </c>
      <c r="G34" s="103" t="s">
        <v>38</v>
      </c>
      <c r="H34" s="287">
        <f>ROUND((SUM(AP99:AP100)+SUM(AP118:AP274)), 2)</f>
        <v>0</v>
      </c>
      <c r="I34" s="271"/>
      <c r="J34" s="271"/>
      <c r="K34" s="34"/>
      <c r="L34" s="34"/>
      <c r="M34" s="287">
        <v>0</v>
      </c>
      <c r="N34" s="271"/>
      <c r="O34" s="271"/>
      <c r="P34" s="271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41</v>
      </c>
      <c r="F35" s="41">
        <v>0.15</v>
      </c>
      <c r="G35" s="103" t="s">
        <v>38</v>
      </c>
      <c r="H35" s="287">
        <f>ROUND((SUM(AQ99:AQ100)+SUM(AQ118:AQ274)), 2)</f>
        <v>0</v>
      </c>
      <c r="I35" s="271"/>
      <c r="J35" s="271"/>
      <c r="K35" s="34"/>
      <c r="L35" s="34"/>
      <c r="M35" s="287">
        <v>0</v>
      </c>
      <c r="N35" s="271"/>
      <c r="O35" s="271"/>
      <c r="P35" s="271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42</v>
      </c>
      <c r="F36" s="41">
        <v>0</v>
      </c>
      <c r="G36" s="103" t="s">
        <v>38</v>
      </c>
      <c r="H36" s="287">
        <f>ROUND((SUM(AR99:AR100)+SUM(AR118:AR274)), 2)</f>
        <v>0</v>
      </c>
      <c r="I36" s="271"/>
      <c r="J36" s="271"/>
      <c r="K36" s="34"/>
      <c r="L36" s="34"/>
      <c r="M36" s="287">
        <v>0</v>
      </c>
      <c r="N36" s="271"/>
      <c r="O36" s="271"/>
      <c r="P36" s="271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99"/>
      <c r="D38" s="104" t="s">
        <v>43</v>
      </c>
      <c r="E38" s="73"/>
      <c r="F38" s="73"/>
      <c r="G38" s="105" t="s">
        <v>44</v>
      </c>
      <c r="H38" s="106" t="s">
        <v>45</v>
      </c>
      <c r="I38" s="73"/>
      <c r="J38" s="73"/>
      <c r="K38" s="73"/>
      <c r="L38" s="288">
        <f>M32+M30</f>
        <v>0</v>
      </c>
      <c r="M38" s="288"/>
      <c r="N38" s="288"/>
      <c r="O38" s="288"/>
      <c r="P38" s="289"/>
      <c r="Q38" s="99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46</v>
      </c>
      <c r="E50" s="49"/>
      <c r="F50" s="49"/>
      <c r="G50" s="49"/>
      <c r="H50" s="50"/>
      <c r="I50" s="34"/>
      <c r="J50" s="48" t="s">
        <v>47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48</v>
      </c>
      <c r="E59" s="54"/>
      <c r="F59" s="54"/>
      <c r="G59" s="55" t="s">
        <v>49</v>
      </c>
      <c r="H59" s="56"/>
      <c r="I59" s="34"/>
      <c r="J59" s="53" t="s">
        <v>48</v>
      </c>
      <c r="K59" s="54"/>
      <c r="L59" s="54"/>
      <c r="M59" s="54"/>
      <c r="N59" s="55" t="s">
        <v>49</v>
      </c>
      <c r="O59" s="54"/>
      <c r="P59" s="56"/>
      <c r="Q59" s="34"/>
      <c r="R59" s="35"/>
    </row>
    <row r="60" spans="2:18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50</v>
      </c>
      <c r="E61" s="49"/>
      <c r="F61" s="49"/>
      <c r="G61" s="49"/>
      <c r="H61" s="50"/>
      <c r="I61" s="34"/>
      <c r="J61" s="48" t="s">
        <v>51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48</v>
      </c>
      <c r="E70" s="54"/>
      <c r="F70" s="54"/>
      <c r="G70" s="55" t="s">
        <v>49</v>
      </c>
      <c r="H70" s="56"/>
      <c r="I70" s="34"/>
      <c r="J70" s="53" t="s">
        <v>48</v>
      </c>
      <c r="K70" s="54"/>
      <c r="L70" s="54"/>
      <c r="M70" s="54"/>
      <c r="N70" s="55" t="s">
        <v>49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241" t="s">
        <v>96</v>
      </c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14</v>
      </c>
      <c r="D78" s="34"/>
      <c r="E78" s="34"/>
      <c r="F78" s="272" t="str">
        <f>F6</f>
        <v>Oprava fasády objektů nemocnice Horní Beřkovice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34"/>
      <c r="R78" s="35"/>
    </row>
    <row r="79" spans="2:18" s="1" customFormat="1" ht="36.950000000000003" customHeight="1">
      <c r="B79" s="33"/>
      <c r="C79" s="67" t="s">
        <v>93</v>
      </c>
      <c r="D79" s="34"/>
      <c r="E79" s="34"/>
      <c r="F79" s="234" t="str">
        <f>F7</f>
        <v>2018/010/b - Fasáda objektu G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18</v>
      </c>
      <c r="D81" s="34"/>
      <c r="E81" s="34"/>
      <c r="F81" s="28" t="str">
        <f>F9</f>
        <v>HORNÍ BEŘKOVICE, PODŘIPSKÁ 1</v>
      </c>
      <c r="G81" s="34"/>
      <c r="H81" s="34"/>
      <c r="I81" s="34"/>
      <c r="J81" s="34"/>
      <c r="K81" s="30" t="s">
        <v>20</v>
      </c>
      <c r="L81" s="34"/>
      <c r="M81" s="274" t="str">
        <f>IF(O9="","",O9)</f>
        <v>01/2020</v>
      </c>
      <c r="N81" s="274"/>
      <c r="O81" s="274"/>
      <c r="P81" s="274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21</v>
      </c>
      <c r="D83" s="34"/>
      <c r="E83" s="34"/>
      <c r="F83" s="28" t="str">
        <f>E12</f>
        <v>PSYCHIATRICKÁ NEMOCNICE HORNÍ BEŘKOVICE</v>
      </c>
      <c r="G83" s="34"/>
      <c r="H83" s="34"/>
      <c r="I83" s="34"/>
      <c r="J83" s="34"/>
      <c r="K83" s="30" t="s">
        <v>27</v>
      </c>
      <c r="L83" s="34"/>
      <c r="M83" s="247" t="str">
        <f>E18</f>
        <v>Starý a partner s.r.o.</v>
      </c>
      <c r="N83" s="247"/>
      <c r="O83" s="247"/>
      <c r="P83" s="247"/>
      <c r="Q83" s="247"/>
      <c r="R83" s="35"/>
    </row>
    <row r="84" spans="2:18" s="1" customFormat="1" ht="14.45" customHeight="1">
      <c r="B84" s="33"/>
      <c r="C84" s="30" t="s">
        <v>25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30</v>
      </c>
      <c r="L84" s="34"/>
      <c r="M84" s="247">
        <f>E21</f>
        <v>0</v>
      </c>
      <c r="N84" s="247"/>
      <c r="O84" s="247"/>
      <c r="P84" s="247"/>
      <c r="Q84" s="247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83" t="s">
        <v>97</v>
      </c>
      <c r="D86" s="284"/>
      <c r="E86" s="284"/>
      <c r="F86" s="284"/>
      <c r="G86" s="284"/>
      <c r="H86" s="99"/>
      <c r="I86" s="99"/>
      <c r="J86" s="99"/>
      <c r="K86" s="99"/>
      <c r="L86" s="99"/>
      <c r="M86" s="99"/>
      <c r="N86" s="283" t="s">
        <v>98</v>
      </c>
      <c r="O86" s="284"/>
      <c r="P86" s="284"/>
      <c r="Q86" s="284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18" s="1" customFormat="1" ht="29.25" customHeight="1">
      <c r="B88" s="33"/>
      <c r="C88" s="107" t="s">
        <v>99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23">
        <f>N89+N94</f>
        <v>0</v>
      </c>
      <c r="O88" s="281"/>
      <c r="P88" s="281"/>
      <c r="Q88" s="281"/>
      <c r="R88" s="35"/>
    </row>
    <row r="89" spans="2:18" s="6" customFormat="1" ht="24.95" customHeight="1">
      <c r="B89" s="108"/>
      <c r="C89" s="109"/>
      <c r="D89" s="110" t="s">
        <v>100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79">
        <f>N90+N91+N92+N93</f>
        <v>0</v>
      </c>
      <c r="O89" s="280"/>
      <c r="P89" s="280"/>
      <c r="Q89" s="280"/>
      <c r="R89" s="111"/>
    </row>
    <row r="90" spans="2:18" s="7" customFormat="1" ht="19.899999999999999" customHeight="1">
      <c r="B90" s="112"/>
      <c r="C90" s="113"/>
      <c r="D90" s="114" t="s">
        <v>101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77">
        <f>N120</f>
        <v>0</v>
      </c>
      <c r="O90" s="278"/>
      <c r="P90" s="278"/>
      <c r="Q90" s="278"/>
      <c r="R90" s="115"/>
    </row>
    <row r="91" spans="2:18" s="7" customFormat="1" ht="19.899999999999999" customHeight="1">
      <c r="B91" s="112"/>
      <c r="C91" s="113"/>
      <c r="D91" s="114" t="s">
        <v>102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77">
        <f>N190</f>
        <v>0</v>
      </c>
      <c r="O91" s="278"/>
      <c r="P91" s="278"/>
      <c r="Q91" s="278"/>
      <c r="R91" s="115"/>
    </row>
    <row r="92" spans="2:18" s="7" customFormat="1" ht="19.899999999999999" customHeight="1">
      <c r="B92" s="112"/>
      <c r="C92" s="113"/>
      <c r="D92" s="114" t="s">
        <v>103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77">
        <f>N221</f>
        <v>0</v>
      </c>
      <c r="O92" s="278"/>
      <c r="P92" s="278"/>
      <c r="Q92" s="278"/>
      <c r="R92" s="115"/>
    </row>
    <row r="93" spans="2:18" s="7" customFormat="1" ht="19.899999999999999" customHeight="1">
      <c r="B93" s="112"/>
      <c r="C93" s="113"/>
      <c r="D93" s="114" t="s">
        <v>104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77">
        <f>N227</f>
        <v>0</v>
      </c>
      <c r="O93" s="278"/>
      <c r="P93" s="278"/>
      <c r="Q93" s="278"/>
      <c r="R93" s="115"/>
    </row>
    <row r="94" spans="2:18" s="6" customFormat="1" ht="24.95" customHeight="1">
      <c r="B94" s="108"/>
      <c r="C94" s="109"/>
      <c r="D94" s="110" t="s">
        <v>105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79">
        <f>N95+N96+N97</f>
        <v>0</v>
      </c>
      <c r="O94" s="280"/>
      <c r="P94" s="280"/>
      <c r="Q94" s="280"/>
      <c r="R94" s="111"/>
    </row>
    <row r="95" spans="2:18" s="7" customFormat="1" ht="19.899999999999999" customHeight="1">
      <c r="B95" s="112"/>
      <c r="C95" s="113"/>
      <c r="D95" s="114" t="s">
        <v>106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77">
        <f>N230</f>
        <v>0</v>
      </c>
      <c r="O95" s="278"/>
      <c r="P95" s="278"/>
      <c r="Q95" s="278"/>
      <c r="R95" s="115"/>
    </row>
    <row r="96" spans="2:18" s="7" customFormat="1" ht="19.899999999999999" customHeight="1">
      <c r="B96" s="112"/>
      <c r="C96" s="113"/>
      <c r="D96" s="114" t="s">
        <v>107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77">
        <f>N242</f>
        <v>0</v>
      </c>
      <c r="O96" s="278"/>
      <c r="P96" s="278"/>
      <c r="Q96" s="278"/>
      <c r="R96" s="115"/>
    </row>
    <row r="97" spans="2:21" s="7" customFormat="1" ht="19.899999999999999" customHeight="1">
      <c r="B97" s="112"/>
      <c r="C97" s="113"/>
      <c r="D97" s="114" t="s">
        <v>108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77">
        <f>N247</f>
        <v>0</v>
      </c>
      <c r="O97" s="278"/>
      <c r="P97" s="278"/>
      <c r="Q97" s="278"/>
      <c r="R97" s="115"/>
    </row>
    <row r="98" spans="2:21" s="1" customFormat="1" ht="21.75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</row>
    <row r="99" spans="2:21" s="1" customFormat="1" ht="29.25" customHeight="1">
      <c r="B99" s="33"/>
      <c r="C99" s="107" t="s">
        <v>109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281">
        <v>0</v>
      </c>
      <c r="O99" s="282"/>
      <c r="P99" s="282"/>
      <c r="Q99" s="282"/>
      <c r="R99" s="35"/>
      <c r="T99" s="116"/>
      <c r="U99" s="117" t="s">
        <v>36</v>
      </c>
    </row>
    <row r="100" spans="2:21" s="1" customFormat="1" ht="18" customHeight="1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spans="2:21" s="1" customFormat="1" ht="29.25" customHeight="1">
      <c r="B101" s="33"/>
      <c r="C101" s="98" t="s">
        <v>85</v>
      </c>
      <c r="D101" s="99"/>
      <c r="E101" s="99"/>
      <c r="F101" s="99"/>
      <c r="G101" s="99"/>
      <c r="H101" s="99"/>
      <c r="I101" s="99"/>
      <c r="J101" s="99"/>
      <c r="K101" s="99"/>
      <c r="L101" s="227">
        <f>N88</f>
        <v>0</v>
      </c>
      <c r="M101" s="227"/>
      <c r="N101" s="227"/>
      <c r="O101" s="227"/>
      <c r="P101" s="227"/>
      <c r="Q101" s="227"/>
      <c r="R101" s="35"/>
    </row>
    <row r="102" spans="2:21" s="1" customFormat="1" ht="6.9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6" spans="2:21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07" spans="2:21" s="1" customFormat="1" ht="36.950000000000003" customHeight="1">
      <c r="B107" s="33"/>
      <c r="C107" s="241" t="s">
        <v>110</v>
      </c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35"/>
    </row>
    <row r="108" spans="2:21" s="1" customFormat="1" ht="6.9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21" s="1" customFormat="1" ht="30" customHeight="1">
      <c r="B109" s="33"/>
      <c r="C109" s="30" t="s">
        <v>14</v>
      </c>
      <c r="D109" s="34"/>
      <c r="E109" s="34"/>
      <c r="F109" s="272" t="str">
        <f>F6</f>
        <v>Oprava fasády objektů nemocnice Horní Beřkovice</v>
      </c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34"/>
      <c r="R109" s="35"/>
    </row>
    <row r="110" spans="2:21" s="1" customFormat="1" ht="36.950000000000003" customHeight="1">
      <c r="B110" s="33"/>
      <c r="C110" s="67" t="s">
        <v>93</v>
      </c>
      <c r="D110" s="34"/>
      <c r="E110" s="34"/>
      <c r="F110" s="234" t="str">
        <f>F7</f>
        <v>2018/010/b - Fasáda objektu G</v>
      </c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34"/>
      <c r="R110" s="35"/>
    </row>
    <row r="111" spans="2:21" s="1" customFormat="1" ht="6.9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21" s="1" customFormat="1" ht="18" customHeight="1">
      <c r="B112" s="33"/>
      <c r="C112" s="30" t="s">
        <v>18</v>
      </c>
      <c r="D112" s="34"/>
      <c r="E112" s="34"/>
      <c r="F112" s="28" t="str">
        <f>F9</f>
        <v>HORNÍ BEŘKOVICE, PODŘIPSKÁ 1</v>
      </c>
      <c r="G112" s="34"/>
      <c r="H112" s="34"/>
      <c r="I112" s="34"/>
      <c r="J112" s="34"/>
      <c r="K112" s="30" t="s">
        <v>20</v>
      </c>
      <c r="L112" s="34"/>
      <c r="M112" s="274" t="str">
        <f>IF(O9="","",O9)</f>
        <v>01/2020</v>
      </c>
      <c r="N112" s="274"/>
      <c r="O112" s="274"/>
      <c r="P112" s="274"/>
      <c r="Q112" s="34"/>
      <c r="R112" s="35"/>
    </row>
    <row r="113" spans="2:50" s="1" customFormat="1" ht="6.9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50" s="1" customFormat="1" ht="15">
      <c r="B114" s="33"/>
      <c r="C114" s="30" t="s">
        <v>21</v>
      </c>
      <c r="D114" s="34"/>
      <c r="E114" s="34"/>
      <c r="F114" s="28" t="str">
        <f>E12</f>
        <v>PSYCHIATRICKÁ NEMOCNICE HORNÍ BEŘKOVICE</v>
      </c>
      <c r="G114" s="34"/>
      <c r="H114" s="34"/>
      <c r="I114" s="34"/>
      <c r="J114" s="34"/>
      <c r="K114" s="30" t="s">
        <v>27</v>
      </c>
      <c r="L114" s="34"/>
      <c r="M114" s="247" t="str">
        <f>E18</f>
        <v>Starý a partner s.r.o.</v>
      </c>
      <c r="N114" s="247"/>
      <c r="O114" s="247"/>
      <c r="P114" s="247"/>
      <c r="Q114" s="247"/>
      <c r="R114" s="35"/>
    </row>
    <row r="115" spans="2:50" s="1" customFormat="1" ht="14.45" customHeight="1">
      <c r="B115" s="33"/>
      <c r="C115" s="30" t="s">
        <v>25</v>
      </c>
      <c r="D115" s="34"/>
      <c r="E115" s="34"/>
      <c r="F115" s="28" t="str">
        <f>IF(E15="","",E15)</f>
        <v xml:space="preserve"> </v>
      </c>
      <c r="G115" s="34"/>
      <c r="H115" s="34"/>
      <c r="I115" s="34"/>
      <c r="J115" s="34"/>
      <c r="K115" s="30" t="s">
        <v>30</v>
      </c>
      <c r="L115" s="34"/>
      <c r="M115" s="247">
        <f>E21</f>
        <v>0</v>
      </c>
      <c r="N115" s="247"/>
      <c r="O115" s="247"/>
      <c r="P115" s="247"/>
      <c r="Q115" s="247"/>
      <c r="R115" s="35"/>
    </row>
    <row r="116" spans="2:50" s="1" customFormat="1" ht="10.3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50" s="8" customFormat="1" ht="29.25" customHeight="1">
      <c r="B117" s="118"/>
      <c r="C117" s="119" t="s">
        <v>111</v>
      </c>
      <c r="D117" s="120" t="s">
        <v>112</v>
      </c>
      <c r="E117" s="120" t="s">
        <v>54</v>
      </c>
      <c r="F117" s="275" t="s">
        <v>113</v>
      </c>
      <c r="G117" s="275"/>
      <c r="H117" s="275"/>
      <c r="I117" s="275"/>
      <c r="J117" s="120" t="s">
        <v>114</v>
      </c>
      <c r="K117" s="120" t="s">
        <v>115</v>
      </c>
      <c r="L117" s="275" t="s">
        <v>116</v>
      </c>
      <c r="M117" s="275"/>
      <c r="N117" s="275" t="s">
        <v>98</v>
      </c>
      <c r="O117" s="275"/>
      <c r="P117" s="275"/>
      <c r="Q117" s="276"/>
      <c r="R117" s="121"/>
      <c r="T117" s="74" t="s">
        <v>117</v>
      </c>
      <c r="U117" s="75" t="s">
        <v>36</v>
      </c>
      <c r="V117" s="75" t="s">
        <v>118</v>
      </c>
      <c r="W117" s="75" t="s">
        <v>119</v>
      </c>
      <c r="X117" s="75" t="s">
        <v>120</v>
      </c>
      <c r="Y117" s="75" t="s">
        <v>121</v>
      </c>
      <c r="Z117" s="75" t="s">
        <v>122</v>
      </c>
      <c r="AA117" s="76" t="s">
        <v>123</v>
      </c>
    </row>
    <row r="118" spans="2:50" s="1" customFormat="1" ht="29.25" customHeight="1">
      <c r="B118" s="33"/>
      <c r="C118" s="78" t="s">
        <v>94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67">
        <f>N119+N229</f>
        <v>0</v>
      </c>
      <c r="O118" s="268"/>
      <c r="P118" s="268"/>
      <c r="Q118" s="268"/>
      <c r="R118" s="35"/>
      <c r="T118" s="77"/>
      <c r="U118" s="49"/>
      <c r="V118" s="49"/>
      <c r="W118" s="122">
        <f>W119+W229</f>
        <v>3691.9047909999999</v>
      </c>
      <c r="X118" s="49"/>
      <c r="Y118" s="122">
        <f>Y119+Y229</f>
        <v>73.465504039999985</v>
      </c>
      <c r="Z118" s="49"/>
      <c r="AA118" s="123">
        <f>AA119+AA229</f>
        <v>101.26188299999995</v>
      </c>
      <c r="AT118" s="124">
        <f>AT119+AT229</f>
        <v>0</v>
      </c>
    </row>
    <row r="119" spans="2:50" s="9" customFormat="1" ht="37.35" customHeight="1">
      <c r="B119" s="125"/>
      <c r="C119" s="126"/>
      <c r="D119" s="182" t="s">
        <v>100</v>
      </c>
      <c r="E119" s="182"/>
      <c r="F119" s="182"/>
      <c r="G119" s="182"/>
      <c r="H119" s="182"/>
      <c r="I119" s="182"/>
      <c r="J119" s="182"/>
      <c r="K119" s="182"/>
      <c r="L119" s="182"/>
      <c r="M119" s="182"/>
      <c r="N119" s="269">
        <f>N120+N190+N221+N227</f>
        <v>0</v>
      </c>
      <c r="O119" s="270"/>
      <c r="P119" s="270"/>
      <c r="Q119" s="270"/>
      <c r="R119" s="128"/>
      <c r="T119" s="129"/>
      <c r="U119" s="126"/>
      <c r="V119" s="126"/>
      <c r="W119" s="130">
        <f>W120+W190+W221+W227</f>
        <v>3015.1519575000002</v>
      </c>
      <c r="X119" s="126"/>
      <c r="Y119" s="130">
        <f>Y120+Y190+Y221+Y227</f>
        <v>71.086818934999982</v>
      </c>
      <c r="Z119" s="126"/>
      <c r="AA119" s="131">
        <f>AA120+AA190+AA221+AA227</f>
        <v>100.67898799999996</v>
      </c>
      <c r="AH119" s="132" t="s">
        <v>124</v>
      </c>
      <c r="AT119" s="133">
        <f>AT120+AT190+AT221+AT227</f>
        <v>0</v>
      </c>
    </row>
    <row r="120" spans="2:50" s="9" customFormat="1" ht="19.899999999999999" customHeight="1">
      <c r="B120" s="125"/>
      <c r="C120" s="126"/>
      <c r="D120" s="134" t="s">
        <v>101</v>
      </c>
      <c r="E120" s="134"/>
      <c r="F120" s="134"/>
      <c r="G120" s="134"/>
      <c r="H120" s="134"/>
      <c r="I120" s="134"/>
      <c r="J120" s="134"/>
      <c r="K120" s="134"/>
      <c r="L120" s="134"/>
      <c r="M120" s="134"/>
      <c r="N120" s="263">
        <f>N121+N134+N148+N152+N163+N167+N179</f>
        <v>0</v>
      </c>
      <c r="O120" s="264"/>
      <c r="P120" s="264"/>
      <c r="Q120" s="264"/>
      <c r="R120" s="128"/>
      <c r="T120" s="129"/>
      <c r="U120" s="126"/>
      <c r="V120" s="126"/>
      <c r="W120" s="130">
        <f>SUM(W121:W189)</f>
        <v>1727.2961515</v>
      </c>
      <c r="X120" s="126"/>
      <c r="Y120" s="130">
        <f>SUM(Y121:Y189)</f>
        <v>71.086818934999982</v>
      </c>
      <c r="Z120" s="126"/>
      <c r="AA120" s="131">
        <f>SUM(AA121:AA189)</f>
        <v>0</v>
      </c>
      <c r="AH120" s="132" t="s">
        <v>124</v>
      </c>
      <c r="AT120" s="133">
        <f>SUM(AT121:AT189)</f>
        <v>0</v>
      </c>
    </row>
    <row r="121" spans="2:50" s="1" customFormat="1" ht="25.5" customHeight="1">
      <c r="B121" s="135"/>
      <c r="C121" s="136" t="s">
        <v>199</v>
      </c>
      <c r="D121" s="136" t="s">
        <v>125</v>
      </c>
      <c r="E121" s="137" t="s">
        <v>129</v>
      </c>
      <c r="F121" s="258" t="s">
        <v>130</v>
      </c>
      <c r="G121" s="258"/>
      <c r="H121" s="258"/>
      <c r="I121" s="258"/>
      <c r="J121" s="138" t="s">
        <v>126</v>
      </c>
      <c r="K121" s="139">
        <f>K124+K126+K128+K130+K132</f>
        <v>1512.4504999999999</v>
      </c>
      <c r="L121" s="251">
        <v>0</v>
      </c>
      <c r="M121" s="251"/>
      <c r="N121" s="251">
        <f>K121*L121</f>
        <v>0</v>
      </c>
      <c r="O121" s="251"/>
      <c r="P121" s="251"/>
      <c r="Q121" s="251"/>
      <c r="R121" s="140"/>
      <c r="T121" s="141" t="s">
        <v>5</v>
      </c>
      <c r="U121" s="42" t="s">
        <v>37</v>
      </c>
      <c r="V121" s="142">
        <v>0.376</v>
      </c>
      <c r="W121" s="142">
        <f>V121*K121</f>
        <v>568.68138799999997</v>
      </c>
      <c r="X121" s="142">
        <v>7.0400000000000003E-3</v>
      </c>
      <c r="Y121" s="142">
        <f>X121*K121</f>
        <v>10.64765152</v>
      </c>
      <c r="Z121" s="142">
        <v>0</v>
      </c>
      <c r="AA121" s="143">
        <f>Z121*K121</f>
        <v>0</v>
      </c>
      <c r="AH121" s="20" t="s">
        <v>124</v>
      </c>
      <c r="AN121" s="144">
        <f>IF(U121="základní",N121,0)</f>
        <v>0</v>
      </c>
      <c r="AO121" s="144">
        <f>IF(U121="snížená",N121,0)</f>
        <v>0</v>
      </c>
      <c r="AP121" s="144">
        <f>IF(U121="zákl. přenesená",N121,0)</f>
        <v>0</v>
      </c>
      <c r="AQ121" s="144">
        <f>IF(U121="sníž. přenesená",N121,0)</f>
        <v>0</v>
      </c>
      <c r="AR121" s="144">
        <f>IF(U121="nulová",N121,0)</f>
        <v>0</v>
      </c>
      <c r="AS121" s="20" t="s">
        <v>73</v>
      </c>
      <c r="AT121" s="144">
        <f>ROUND(L121*K121,2)</f>
        <v>0</v>
      </c>
      <c r="AU121" s="20" t="s">
        <v>127</v>
      </c>
      <c r="AV121" s="20" t="s">
        <v>331</v>
      </c>
      <c r="AX121" s="144"/>
    </row>
    <row r="122" spans="2:50" s="10" customFormat="1" ht="25.5" customHeight="1">
      <c r="B122" s="145"/>
      <c r="C122" s="146"/>
      <c r="D122" s="146"/>
      <c r="E122" s="147" t="s">
        <v>5</v>
      </c>
      <c r="F122" s="261" t="s">
        <v>131</v>
      </c>
      <c r="G122" s="262"/>
      <c r="H122" s="262"/>
      <c r="I122" s="262"/>
      <c r="J122" s="146"/>
      <c r="K122" s="147" t="s">
        <v>5</v>
      </c>
      <c r="L122" s="146"/>
      <c r="M122" s="146"/>
      <c r="N122" s="146"/>
      <c r="O122" s="146"/>
      <c r="P122" s="146"/>
      <c r="Q122" s="146"/>
      <c r="R122" s="148"/>
      <c r="T122" s="149"/>
      <c r="U122" s="146"/>
      <c r="V122" s="146"/>
      <c r="W122" s="146"/>
      <c r="X122" s="146"/>
      <c r="Y122" s="146"/>
      <c r="Z122" s="146"/>
      <c r="AA122" s="150"/>
      <c r="AE122" s="10" t="s">
        <v>73</v>
      </c>
      <c r="AF122" s="10" t="s">
        <v>29</v>
      </c>
      <c r="AG122" s="10" t="s">
        <v>71</v>
      </c>
      <c r="AH122" s="151" t="s">
        <v>124</v>
      </c>
    </row>
    <row r="123" spans="2:50" s="10" customFormat="1" ht="16.5" customHeight="1">
      <c r="B123" s="145"/>
      <c r="C123" s="146"/>
      <c r="D123" s="146"/>
      <c r="E123" s="147" t="s">
        <v>5</v>
      </c>
      <c r="F123" s="259" t="s">
        <v>332</v>
      </c>
      <c r="G123" s="260"/>
      <c r="H123" s="260"/>
      <c r="I123" s="260"/>
      <c r="J123" s="146"/>
      <c r="K123" s="147" t="s">
        <v>5</v>
      </c>
      <c r="L123" s="146"/>
      <c r="M123" s="146"/>
      <c r="N123" s="146"/>
      <c r="O123" s="146"/>
      <c r="P123" s="146"/>
      <c r="Q123" s="146"/>
      <c r="R123" s="148"/>
      <c r="T123" s="149"/>
      <c r="U123" s="146"/>
      <c r="V123" s="146"/>
      <c r="W123" s="146"/>
      <c r="X123" s="146"/>
      <c r="Y123" s="146"/>
      <c r="Z123" s="146"/>
      <c r="AA123" s="150"/>
      <c r="AE123" s="10" t="s">
        <v>73</v>
      </c>
      <c r="AF123" s="10" t="s">
        <v>29</v>
      </c>
      <c r="AG123" s="10" t="s">
        <v>71</v>
      </c>
      <c r="AH123" s="151" t="s">
        <v>124</v>
      </c>
    </row>
    <row r="124" spans="2:50" s="11" customFormat="1" ht="25.5" customHeight="1">
      <c r="B124" s="152"/>
      <c r="C124" s="153"/>
      <c r="D124" s="153"/>
      <c r="E124" s="154" t="s">
        <v>5</v>
      </c>
      <c r="F124" s="265" t="s">
        <v>429</v>
      </c>
      <c r="G124" s="266"/>
      <c r="H124" s="266"/>
      <c r="I124" s="266"/>
      <c r="J124" s="153"/>
      <c r="K124" s="155">
        <f>18.55*11.2+2.1*2*10.7+10-4*1.35*2.45-1.4*2.4-1.95*2.45</f>
        <v>241.33249999999998</v>
      </c>
      <c r="L124" s="153"/>
      <c r="M124" s="153"/>
      <c r="N124" s="153"/>
      <c r="O124" s="153"/>
      <c r="P124" s="153"/>
      <c r="Q124" s="153"/>
      <c r="R124" s="156"/>
      <c r="T124" s="157"/>
      <c r="U124" s="153"/>
      <c r="V124" s="153"/>
      <c r="W124" s="153"/>
      <c r="X124" s="153"/>
      <c r="Y124" s="153"/>
      <c r="Z124" s="153"/>
      <c r="AA124" s="158"/>
      <c r="AE124" s="11" t="s">
        <v>91</v>
      </c>
      <c r="AF124" s="11" t="s">
        <v>29</v>
      </c>
      <c r="AG124" s="11" t="s">
        <v>71</v>
      </c>
      <c r="AH124" s="159" t="s">
        <v>124</v>
      </c>
      <c r="AX124" s="174"/>
    </row>
    <row r="125" spans="2:50" s="10" customFormat="1" ht="16.5" customHeight="1">
      <c r="B125" s="145"/>
      <c r="C125" s="146"/>
      <c r="D125" s="146"/>
      <c r="E125" s="147" t="s">
        <v>5</v>
      </c>
      <c r="F125" s="259" t="s">
        <v>333</v>
      </c>
      <c r="G125" s="260"/>
      <c r="H125" s="260"/>
      <c r="I125" s="260"/>
      <c r="J125" s="146"/>
      <c r="K125" s="147" t="s">
        <v>5</v>
      </c>
      <c r="L125" s="146"/>
      <c r="M125" s="146"/>
      <c r="N125" s="146"/>
      <c r="O125" s="146"/>
      <c r="P125" s="146"/>
      <c r="Q125" s="146"/>
      <c r="R125" s="148"/>
      <c r="T125" s="149"/>
      <c r="U125" s="146"/>
      <c r="V125" s="146"/>
      <c r="W125" s="146"/>
      <c r="X125" s="146"/>
      <c r="Y125" s="146"/>
      <c r="Z125" s="146"/>
      <c r="AA125" s="150"/>
      <c r="AE125" s="10" t="s">
        <v>73</v>
      </c>
      <c r="AF125" s="10" t="s">
        <v>29</v>
      </c>
      <c r="AG125" s="10" t="s">
        <v>71</v>
      </c>
      <c r="AH125" s="151" t="s">
        <v>124</v>
      </c>
    </row>
    <row r="126" spans="2:50" s="11" customFormat="1" ht="51" customHeight="1">
      <c r="B126" s="152"/>
      <c r="C126" s="153"/>
      <c r="D126" s="153"/>
      <c r="E126" s="154" t="s">
        <v>5</v>
      </c>
      <c r="F126" s="252" t="s">
        <v>430</v>
      </c>
      <c r="G126" s="253"/>
      <c r="H126" s="253"/>
      <c r="I126" s="253"/>
      <c r="J126" s="153"/>
      <c r="K126" s="155">
        <f>5*5.2+3.82*10.7+8.7*4.4+3.8*11.2+3.9*10.7+4.18*10.7+4.91*10.7+7.3*4.5-3*1.35*2.2-2*1.15*2.2-1.55*2.45-1.35*2.5-3*1.35*2.45-2*1.15*2.2-1.3*2.45</f>
        <v>280.24699999999996</v>
      </c>
      <c r="L126" s="153"/>
      <c r="M126" s="153"/>
      <c r="N126" s="153"/>
      <c r="O126" s="153"/>
      <c r="P126" s="153"/>
      <c r="Q126" s="153"/>
      <c r="R126" s="156"/>
      <c r="T126" s="157"/>
      <c r="U126" s="153"/>
      <c r="V126" s="153"/>
      <c r="W126" s="153"/>
      <c r="X126" s="153"/>
      <c r="Y126" s="153"/>
      <c r="Z126" s="153"/>
      <c r="AA126" s="158"/>
      <c r="AE126" s="11" t="s">
        <v>91</v>
      </c>
      <c r="AF126" s="11" t="s">
        <v>29</v>
      </c>
      <c r="AG126" s="11" t="s">
        <v>71</v>
      </c>
      <c r="AH126" s="159" t="s">
        <v>124</v>
      </c>
    </row>
    <row r="127" spans="2:50" s="10" customFormat="1" ht="16.5" customHeight="1">
      <c r="B127" s="145"/>
      <c r="C127" s="146"/>
      <c r="D127" s="146"/>
      <c r="E127" s="147" t="s">
        <v>5</v>
      </c>
      <c r="F127" s="259" t="s">
        <v>334</v>
      </c>
      <c r="G127" s="260"/>
      <c r="H127" s="260"/>
      <c r="I127" s="260"/>
      <c r="J127" s="146"/>
      <c r="K127" s="147" t="s">
        <v>5</v>
      </c>
      <c r="L127" s="146"/>
      <c r="M127" s="146"/>
      <c r="N127" s="146"/>
      <c r="O127" s="146"/>
      <c r="P127" s="146"/>
      <c r="Q127" s="146"/>
      <c r="R127" s="148"/>
      <c r="T127" s="149"/>
      <c r="U127" s="146"/>
      <c r="V127" s="146"/>
      <c r="W127" s="146"/>
      <c r="X127" s="146"/>
      <c r="Y127" s="146"/>
      <c r="Z127" s="146"/>
      <c r="AA127" s="150"/>
      <c r="AE127" s="10" t="s">
        <v>73</v>
      </c>
      <c r="AF127" s="10" t="s">
        <v>29</v>
      </c>
      <c r="AG127" s="10" t="s">
        <v>71</v>
      </c>
      <c r="AH127" s="151" t="s">
        <v>124</v>
      </c>
    </row>
    <row r="128" spans="2:50" s="11" customFormat="1" ht="51" customHeight="1">
      <c r="B128" s="152"/>
      <c r="C128" s="153"/>
      <c r="D128" s="153"/>
      <c r="E128" s="154" t="s">
        <v>5</v>
      </c>
      <c r="F128" s="252" t="s">
        <v>432</v>
      </c>
      <c r="G128" s="253"/>
      <c r="H128" s="253"/>
      <c r="I128" s="253"/>
      <c r="J128" s="153"/>
      <c r="K128" s="155">
        <f>11.33*10.7+7.52*10.7+15.65*10.7+12.36*10.7-6*5+11.55*10.7-5*5.8-1.38*3.5-3*1.35*2.45-13*1.15*2.45-2*1.05*2.45-1.5*2.9-2*1.35*2.45-2*1.05*2.45</f>
        <v>493.35199999999998</v>
      </c>
      <c r="L128" s="153"/>
      <c r="M128" s="153"/>
      <c r="N128" s="153"/>
      <c r="O128" s="153"/>
      <c r="P128" s="153"/>
      <c r="Q128" s="153"/>
      <c r="R128" s="156"/>
      <c r="T128" s="157"/>
      <c r="U128" s="153"/>
      <c r="V128" s="153"/>
      <c r="W128" s="153"/>
      <c r="X128" s="153"/>
      <c r="Y128" s="153"/>
      <c r="Z128" s="153"/>
      <c r="AA128" s="158"/>
      <c r="AE128" s="11" t="s">
        <v>91</v>
      </c>
      <c r="AF128" s="11" t="s">
        <v>29</v>
      </c>
      <c r="AG128" s="11" t="s">
        <v>71</v>
      </c>
      <c r="AH128" s="159" t="s">
        <v>124</v>
      </c>
      <c r="AX128" s="174"/>
    </row>
    <row r="129" spans="2:50" s="10" customFormat="1" ht="16.5" customHeight="1">
      <c r="B129" s="145"/>
      <c r="C129" s="146"/>
      <c r="D129" s="146"/>
      <c r="E129" s="147" t="s">
        <v>5</v>
      </c>
      <c r="F129" s="259" t="s">
        <v>335</v>
      </c>
      <c r="G129" s="260"/>
      <c r="H129" s="260"/>
      <c r="I129" s="260"/>
      <c r="J129" s="146"/>
      <c r="K129" s="147" t="s">
        <v>5</v>
      </c>
      <c r="L129" s="146"/>
      <c r="M129" s="146"/>
      <c r="N129" s="146"/>
      <c r="O129" s="146"/>
      <c r="P129" s="146"/>
      <c r="Q129" s="146"/>
      <c r="R129" s="148"/>
      <c r="T129" s="149"/>
      <c r="U129" s="146"/>
      <c r="V129" s="146"/>
      <c r="W129" s="146"/>
      <c r="X129" s="146"/>
      <c r="Y129" s="146"/>
      <c r="Z129" s="146"/>
      <c r="AA129" s="150"/>
      <c r="AE129" s="10" t="s">
        <v>73</v>
      </c>
      <c r="AF129" s="10" t="s">
        <v>29</v>
      </c>
      <c r="AG129" s="10" t="s">
        <v>71</v>
      </c>
      <c r="AH129" s="151" t="s">
        <v>124</v>
      </c>
    </row>
    <row r="130" spans="2:50" s="11" customFormat="1" ht="25.5" customHeight="1">
      <c r="B130" s="152"/>
      <c r="C130" s="153"/>
      <c r="D130" s="153"/>
      <c r="E130" s="154" t="s">
        <v>5</v>
      </c>
      <c r="F130" s="252" t="s">
        <v>433</v>
      </c>
      <c r="G130" s="253"/>
      <c r="H130" s="253"/>
      <c r="I130" s="253"/>
      <c r="J130" s="153"/>
      <c r="K130" s="155">
        <f>40.2*10.7+2*10.7-11*1.55*2.45-1.55*3.75-11*1.35*2.45-1.35*2.75</f>
        <v>363.85999999999996</v>
      </c>
      <c r="L130" s="153"/>
      <c r="M130" s="153"/>
      <c r="N130" s="153"/>
      <c r="O130" s="153"/>
      <c r="P130" s="153"/>
      <c r="Q130" s="153"/>
      <c r="R130" s="156"/>
      <c r="T130" s="157"/>
      <c r="U130" s="153"/>
      <c r="V130" s="153"/>
      <c r="W130" s="153"/>
      <c r="X130" s="153"/>
      <c r="Y130" s="153"/>
      <c r="Z130" s="153"/>
      <c r="AA130" s="158"/>
      <c r="AE130" s="11" t="s">
        <v>91</v>
      </c>
      <c r="AF130" s="11" t="s">
        <v>29</v>
      </c>
      <c r="AG130" s="11" t="s">
        <v>71</v>
      </c>
      <c r="AH130" s="159" t="s">
        <v>124</v>
      </c>
    </row>
    <row r="131" spans="2:50" s="10" customFormat="1" ht="16.5" customHeight="1">
      <c r="B131" s="145"/>
      <c r="C131" s="146"/>
      <c r="D131" s="146"/>
      <c r="E131" s="147" t="s">
        <v>5</v>
      </c>
      <c r="F131" s="259" t="s">
        <v>154</v>
      </c>
      <c r="G131" s="260"/>
      <c r="H131" s="260"/>
      <c r="I131" s="260"/>
      <c r="J131" s="146"/>
      <c r="K131" s="147" t="s">
        <v>5</v>
      </c>
      <c r="L131" s="146"/>
      <c r="M131" s="146"/>
      <c r="N131" s="146"/>
      <c r="O131" s="146"/>
      <c r="P131" s="146"/>
      <c r="Q131" s="146"/>
      <c r="R131" s="148"/>
      <c r="T131" s="149"/>
      <c r="U131" s="146"/>
      <c r="V131" s="146"/>
      <c r="W131" s="146"/>
      <c r="X131" s="146"/>
      <c r="Y131" s="146"/>
      <c r="Z131" s="146"/>
      <c r="AA131" s="150"/>
      <c r="AE131" s="10" t="s">
        <v>73</v>
      </c>
      <c r="AF131" s="10" t="s">
        <v>29</v>
      </c>
      <c r="AG131" s="10" t="s">
        <v>71</v>
      </c>
      <c r="AH131" s="151" t="s">
        <v>124</v>
      </c>
    </row>
    <row r="132" spans="2:50" s="11" customFormat="1" ht="16.5" customHeight="1">
      <c r="B132" s="152"/>
      <c r="C132" s="153"/>
      <c r="D132" s="153"/>
      <c r="E132" s="154" t="s">
        <v>5</v>
      </c>
      <c r="F132" s="252" t="s">
        <v>434</v>
      </c>
      <c r="G132" s="253"/>
      <c r="H132" s="253"/>
      <c r="I132" s="253"/>
      <c r="J132" s="153"/>
      <c r="K132" s="155">
        <f>445.53*0.3</f>
        <v>133.65899999999999</v>
      </c>
      <c r="L132" s="153"/>
      <c r="M132" s="153"/>
      <c r="N132" s="153"/>
      <c r="O132" s="153"/>
      <c r="P132" s="153"/>
      <c r="Q132" s="153"/>
      <c r="R132" s="156"/>
      <c r="T132" s="157"/>
      <c r="U132" s="153"/>
      <c r="V132" s="153"/>
      <c r="W132" s="153"/>
      <c r="X132" s="153"/>
      <c r="Y132" s="153"/>
      <c r="Z132" s="153"/>
      <c r="AA132" s="158"/>
      <c r="AE132" s="11" t="s">
        <v>91</v>
      </c>
      <c r="AF132" s="11" t="s">
        <v>29</v>
      </c>
      <c r="AG132" s="11" t="s">
        <v>71</v>
      </c>
      <c r="AH132" s="159" t="s">
        <v>124</v>
      </c>
    </row>
    <row r="133" spans="2:50" s="12" customFormat="1" ht="16.5" customHeight="1">
      <c r="B133" s="160"/>
      <c r="C133" s="161"/>
      <c r="D133" s="161"/>
      <c r="E133" s="162" t="s">
        <v>5</v>
      </c>
      <c r="F133" s="256" t="s">
        <v>128</v>
      </c>
      <c r="G133" s="257"/>
      <c r="H133" s="257"/>
      <c r="I133" s="257"/>
      <c r="J133" s="161"/>
      <c r="K133" s="163">
        <f>K132+K130+K128+K126+K124</f>
        <v>1512.4504999999999</v>
      </c>
      <c r="L133" s="161"/>
      <c r="M133" s="161"/>
      <c r="N133" s="161"/>
      <c r="O133" s="161"/>
      <c r="P133" s="161"/>
      <c r="Q133" s="161"/>
      <c r="R133" s="164"/>
      <c r="T133" s="165"/>
      <c r="U133" s="161"/>
      <c r="V133" s="161"/>
      <c r="W133" s="161"/>
      <c r="X133" s="161"/>
      <c r="Y133" s="161"/>
      <c r="Z133" s="161"/>
      <c r="AA133" s="166"/>
      <c r="AE133" s="12" t="s">
        <v>127</v>
      </c>
      <c r="AF133" s="12" t="s">
        <v>29</v>
      </c>
      <c r="AG133" s="12" t="s">
        <v>73</v>
      </c>
      <c r="AH133" s="167" t="s">
        <v>124</v>
      </c>
    </row>
    <row r="134" spans="2:50" s="1" customFormat="1" ht="25.5" customHeight="1">
      <c r="B134" s="135"/>
      <c r="C134" s="136" t="s">
        <v>73</v>
      </c>
      <c r="D134" s="136" t="s">
        <v>125</v>
      </c>
      <c r="E134" s="137" t="s">
        <v>133</v>
      </c>
      <c r="F134" s="258" t="s">
        <v>134</v>
      </c>
      <c r="G134" s="258"/>
      <c r="H134" s="258"/>
      <c r="I134" s="258"/>
      <c r="J134" s="138" t="s">
        <v>126</v>
      </c>
      <c r="K134" s="139">
        <f>K133</f>
        <v>1512.4504999999999</v>
      </c>
      <c r="L134" s="251">
        <v>0</v>
      </c>
      <c r="M134" s="251"/>
      <c r="N134" s="251">
        <f>L134*K134</f>
        <v>0</v>
      </c>
      <c r="O134" s="251"/>
      <c r="P134" s="251"/>
      <c r="Q134" s="251"/>
      <c r="R134" s="140"/>
      <c r="T134" s="141" t="s">
        <v>5</v>
      </c>
      <c r="U134" s="42" t="s">
        <v>37</v>
      </c>
      <c r="V134" s="142">
        <v>8.6999999999999994E-2</v>
      </c>
      <c r="W134" s="142">
        <f>V134*K134</f>
        <v>131.58319349999999</v>
      </c>
      <c r="X134" s="142">
        <v>7.3499999999999998E-3</v>
      </c>
      <c r="Y134" s="142">
        <f>X134*K134</f>
        <v>11.116511174999999</v>
      </c>
      <c r="Z134" s="142">
        <v>0</v>
      </c>
      <c r="AA134" s="143">
        <f>Z134*K134</f>
        <v>0</v>
      </c>
      <c r="AH134" s="20" t="s">
        <v>124</v>
      </c>
      <c r="AN134" s="144">
        <f>IF(U134="základní",N134,0)</f>
        <v>0</v>
      </c>
      <c r="AO134" s="144">
        <f>IF(U134="snížená",N134,0)</f>
        <v>0</v>
      </c>
      <c r="AP134" s="144">
        <f>IF(U134="zákl. přenesená",N134,0)</f>
        <v>0</v>
      </c>
      <c r="AQ134" s="144">
        <f>IF(U134="sníž. přenesená",N134,0)</f>
        <v>0</v>
      </c>
      <c r="AR134" s="144">
        <f>IF(U134="nulová",N134,0)</f>
        <v>0</v>
      </c>
      <c r="AS134" s="20" t="s">
        <v>73</v>
      </c>
      <c r="AT134" s="144">
        <f>ROUND(L134*K134,2)</f>
        <v>0</v>
      </c>
      <c r="AU134" s="20" t="s">
        <v>127</v>
      </c>
      <c r="AV134" s="20" t="s">
        <v>336</v>
      </c>
      <c r="AX134" s="144"/>
    </row>
    <row r="135" spans="2:50" s="10" customFormat="1" ht="16.5" customHeight="1">
      <c r="B135" s="145"/>
      <c r="C135" s="146"/>
      <c r="D135" s="146"/>
      <c r="E135" s="147" t="s">
        <v>5</v>
      </c>
      <c r="F135" s="261" t="s">
        <v>135</v>
      </c>
      <c r="G135" s="262"/>
      <c r="H135" s="262"/>
      <c r="I135" s="262"/>
      <c r="J135" s="146"/>
      <c r="K135" s="147" t="s">
        <v>5</v>
      </c>
      <c r="L135" s="146"/>
      <c r="M135" s="146"/>
      <c r="N135" s="146"/>
      <c r="O135" s="146"/>
      <c r="P135" s="146"/>
      <c r="Q135" s="146"/>
      <c r="R135" s="148"/>
      <c r="T135" s="149"/>
      <c r="U135" s="146"/>
      <c r="V135" s="146"/>
      <c r="W135" s="146"/>
      <c r="X135" s="146"/>
      <c r="Y135" s="146"/>
      <c r="Z135" s="146"/>
      <c r="AA135" s="150"/>
      <c r="AE135" s="10" t="s">
        <v>73</v>
      </c>
      <c r="AF135" s="10" t="s">
        <v>29</v>
      </c>
      <c r="AG135" s="10" t="s">
        <v>71</v>
      </c>
      <c r="AH135" s="151" t="s">
        <v>124</v>
      </c>
    </row>
    <row r="136" spans="2:50" s="10" customFormat="1" ht="16.5" customHeight="1">
      <c r="B136" s="145"/>
      <c r="C136" s="146"/>
      <c r="D136" s="146"/>
      <c r="E136" s="147" t="s">
        <v>5</v>
      </c>
      <c r="F136" s="259" t="s">
        <v>144</v>
      </c>
      <c r="G136" s="260"/>
      <c r="H136" s="260"/>
      <c r="I136" s="260"/>
      <c r="J136" s="146"/>
      <c r="K136" s="147" t="s">
        <v>5</v>
      </c>
      <c r="L136" s="146"/>
      <c r="M136" s="146"/>
      <c r="N136" s="146"/>
      <c r="O136" s="146"/>
      <c r="P136" s="146"/>
      <c r="Q136" s="146"/>
      <c r="R136" s="148"/>
      <c r="T136" s="149"/>
      <c r="U136" s="146"/>
      <c r="V136" s="146"/>
      <c r="W136" s="146"/>
      <c r="X136" s="146"/>
      <c r="Y136" s="146"/>
      <c r="Z136" s="146"/>
      <c r="AA136" s="150"/>
      <c r="AE136" s="10" t="s">
        <v>73</v>
      </c>
      <c r="AF136" s="10" t="s">
        <v>29</v>
      </c>
      <c r="AG136" s="10" t="s">
        <v>71</v>
      </c>
      <c r="AH136" s="151" t="s">
        <v>124</v>
      </c>
    </row>
    <row r="137" spans="2:50" s="10" customFormat="1" ht="16.5" customHeight="1">
      <c r="B137" s="145"/>
      <c r="C137" s="146"/>
      <c r="D137" s="146"/>
      <c r="E137" s="147" t="s">
        <v>5</v>
      </c>
      <c r="F137" s="259" t="s">
        <v>332</v>
      </c>
      <c r="G137" s="260"/>
      <c r="H137" s="260"/>
      <c r="I137" s="260"/>
      <c r="J137" s="146"/>
      <c r="K137" s="147" t="s">
        <v>5</v>
      </c>
      <c r="L137" s="146"/>
      <c r="M137" s="146"/>
      <c r="N137" s="146"/>
      <c r="O137" s="146"/>
      <c r="P137" s="146"/>
      <c r="Q137" s="146"/>
      <c r="R137" s="148"/>
      <c r="T137" s="149"/>
      <c r="U137" s="146"/>
      <c r="V137" s="146"/>
      <c r="W137" s="146"/>
      <c r="X137" s="146"/>
      <c r="Y137" s="146"/>
      <c r="Z137" s="146"/>
      <c r="AA137" s="150"/>
      <c r="AE137" s="10" t="s">
        <v>73</v>
      </c>
      <c r="AF137" s="10" t="s">
        <v>29</v>
      </c>
      <c r="AG137" s="10" t="s">
        <v>71</v>
      </c>
      <c r="AH137" s="151" t="s">
        <v>124</v>
      </c>
    </row>
    <row r="138" spans="2:50" s="11" customFormat="1" ht="25.5" customHeight="1">
      <c r="B138" s="152"/>
      <c r="C138" s="153"/>
      <c r="D138" s="153"/>
      <c r="E138" s="154" t="s">
        <v>5</v>
      </c>
      <c r="F138" s="252" t="s">
        <v>429</v>
      </c>
      <c r="G138" s="253"/>
      <c r="H138" s="253"/>
      <c r="I138" s="253"/>
      <c r="J138" s="153"/>
      <c r="K138" s="155">
        <f>K124</f>
        <v>241.33249999999998</v>
      </c>
      <c r="L138" s="153"/>
      <c r="M138" s="153"/>
      <c r="N138" s="153"/>
      <c r="O138" s="153"/>
      <c r="P138" s="153"/>
      <c r="Q138" s="153"/>
      <c r="R138" s="156"/>
      <c r="T138" s="157"/>
      <c r="U138" s="153"/>
      <c r="V138" s="153"/>
      <c r="W138" s="153"/>
      <c r="X138" s="153"/>
      <c r="Y138" s="153"/>
      <c r="Z138" s="153"/>
      <c r="AA138" s="158"/>
      <c r="AE138" s="11" t="s">
        <v>91</v>
      </c>
      <c r="AF138" s="11" t="s">
        <v>29</v>
      </c>
      <c r="AG138" s="11" t="s">
        <v>71</v>
      </c>
      <c r="AH138" s="159" t="s">
        <v>124</v>
      </c>
    </row>
    <row r="139" spans="2:50" s="10" customFormat="1" ht="16.5" customHeight="1">
      <c r="B139" s="145"/>
      <c r="C139" s="146"/>
      <c r="D139" s="146"/>
      <c r="E139" s="147" t="s">
        <v>5</v>
      </c>
      <c r="F139" s="259" t="s">
        <v>333</v>
      </c>
      <c r="G139" s="260"/>
      <c r="H139" s="260"/>
      <c r="I139" s="260"/>
      <c r="J139" s="146"/>
      <c r="K139" s="147" t="s">
        <v>5</v>
      </c>
      <c r="L139" s="146"/>
      <c r="M139" s="146"/>
      <c r="N139" s="146"/>
      <c r="O139" s="146"/>
      <c r="P139" s="146"/>
      <c r="Q139" s="146"/>
      <c r="R139" s="148"/>
      <c r="T139" s="149"/>
      <c r="U139" s="146"/>
      <c r="V139" s="146"/>
      <c r="W139" s="146"/>
      <c r="X139" s="146"/>
      <c r="Y139" s="146"/>
      <c r="Z139" s="146"/>
      <c r="AA139" s="150"/>
      <c r="AE139" s="10" t="s">
        <v>73</v>
      </c>
      <c r="AF139" s="10" t="s">
        <v>29</v>
      </c>
      <c r="AG139" s="10" t="s">
        <v>71</v>
      </c>
      <c r="AH139" s="151" t="s">
        <v>124</v>
      </c>
    </row>
    <row r="140" spans="2:50" s="11" customFormat="1" ht="51" customHeight="1">
      <c r="B140" s="152"/>
      <c r="C140" s="153"/>
      <c r="D140" s="153"/>
      <c r="E140" s="154" t="s">
        <v>5</v>
      </c>
      <c r="F140" s="252" t="s">
        <v>430</v>
      </c>
      <c r="G140" s="253"/>
      <c r="H140" s="253"/>
      <c r="I140" s="253"/>
      <c r="J140" s="153"/>
      <c r="K140" s="155">
        <f>K126</f>
        <v>280.24699999999996</v>
      </c>
      <c r="L140" s="153"/>
      <c r="M140" s="153"/>
      <c r="N140" s="153"/>
      <c r="O140" s="153"/>
      <c r="P140" s="153"/>
      <c r="Q140" s="153"/>
      <c r="R140" s="156"/>
      <c r="T140" s="157"/>
      <c r="U140" s="153"/>
      <c r="V140" s="153"/>
      <c r="W140" s="153"/>
      <c r="X140" s="153"/>
      <c r="Y140" s="153"/>
      <c r="Z140" s="153"/>
      <c r="AA140" s="158"/>
      <c r="AE140" s="11" t="s">
        <v>91</v>
      </c>
      <c r="AF140" s="11" t="s">
        <v>29</v>
      </c>
      <c r="AG140" s="11" t="s">
        <v>71</v>
      </c>
      <c r="AH140" s="159" t="s">
        <v>124</v>
      </c>
    </row>
    <row r="141" spans="2:50" s="10" customFormat="1" ht="16.5" customHeight="1">
      <c r="B141" s="145"/>
      <c r="C141" s="146"/>
      <c r="D141" s="146"/>
      <c r="E141" s="147" t="s">
        <v>5</v>
      </c>
      <c r="F141" s="259" t="s">
        <v>334</v>
      </c>
      <c r="G141" s="260"/>
      <c r="H141" s="260"/>
      <c r="I141" s="260"/>
      <c r="J141" s="146"/>
      <c r="K141" s="147" t="s">
        <v>5</v>
      </c>
      <c r="L141" s="146"/>
      <c r="M141" s="146"/>
      <c r="N141" s="146"/>
      <c r="O141" s="146"/>
      <c r="P141" s="146"/>
      <c r="Q141" s="146"/>
      <c r="R141" s="148"/>
      <c r="T141" s="149"/>
      <c r="U141" s="146"/>
      <c r="V141" s="146"/>
      <c r="W141" s="146"/>
      <c r="X141" s="146"/>
      <c r="Y141" s="146"/>
      <c r="Z141" s="146"/>
      <c r="AA141" s="150"/>
      <c r="AE141" s="10" t="s">
        <v>73</v>
      </c>
      <c r="AF141" s="10" t="s">
        <v>29</v>
      </c>
      <c r="AG141" s="10" t="s">
        <v>71</v>
      </c>
      <c r="AH141" s="151" t="s">
        <v>124</v>
      </c>
    </row>
    <row r="142" spans="2:50" s="11" customFormat="1" ht="51" customHeight="1">
      <c r="B142" s="152"/>
      <c r="C142" s="153"/>
      <c r="D142" s="153"/>
      <c r="E142" s="154" t="s">
        <v>5</v>
      </c>
      <c r="F142" s="252" t="s">
        <v>432</v>
      </c>
      <c r="G142" s="253"/>
      <c r="H142" s="253"/>
      <c r="I142" s="253"/>
      <c r="J142" s="153"/>
      <c r="K142" s="155">
        <f>K128</f>
        <v>493.35199999999998</v>
      </c>
      <c r="L142" s="153"/>
      <c r="M142" s="153"/>
      <c r="N142" s="153"/>
      <c r="O142" s="153"/>
      <c r="P142" s="153"/>
      <c r="Q142" s="153"/>
      <c r="R142" s="156"/>
      <c r="T142" s="157"/>
      <c r="U142" s="153"/>
      <c r="V142" s="153"/>
      <c r="W142" s="153"/>
      <c r="X142" s="153"/>
      <c r="Y142" s="153"/>
      <c r="Z142" s="153"/>
      <c r="AA142" s="158"/>
      <c r="AE142" s="11" t="s">
        <v>91</v>
      </c>
      <c r="AF142" s="11" t="s">
        <v>29</v>
      </c>
      <c r="AG142" s="11" t="s">
        <v>71</v>
      </c>
      <c r="AH142" s="159" t="s">
        <v>124</v>
      </c>
    </row>
    <row r="143" spans="2:50" s="10" customFormat="1" ht="16.5" customHeight="1">
      <c r="B143" s="145"/>
      <c r="C143" s="146"/>
      <c r="D143" s="146"/>
      <c r="E143" s="147" t="s">
        <v>5</v>
      </c>
      <c r="F143" s="259" t="s">
        <v>335</v>
      </c>
      <c r="G143" s="260"/>
      <c r="H143" s="260"/>
      <c r="I143" s="260"/>
      <c r="J143" s="146"/>
      <c r="K143" s="147" t="s">
        <v>5</v>
      </c>
      <c r="L143" s="146"/>
      <c r="M143" s="146"/>
      <c r="N143" s="146"/>
      <c r="O143" s="146"/>
      <c r="P143" s="146"/>
      <c r="Q143" s="146"/>
      <c r="R143" s="148"/>
      <c r="T143" s="149"/>
      <c r="U143" s="146"/>
      <c r="V143" s="146"/>
      <c r="W143" s="146"/>
      <c r="X143" s="146"/>
      <c r="Y143" s="146"/>
      <c r="Z143" s="146"/>
      <c r="AA143" s="150"/>
      <c r="AE143" s="10" t="s">
        <v>73</v>
      </c>
      <c r="AF143" s="10" t="s">
        <v>29</v>
      </c>
      <c r="AG143" s="10" t="s">
        <v>71</v>
      </c>
      <c r="AH143" s="151" t="s">
        <v>124</v>
      </c>
    </row>
    <row r="144" spans="2:50" s="11" customFormat="1" ht="25.5" customHeight="1">
      <c r="B144" s="152"/>
      <c r="C144" s="153"/>
      <c r="D144" s="153"/>
      <c r="E144" s="154" t="s">
        <v>5</v>
      </c>
      <c r="F144" s="252" t="s">
        <v>433</v>
      </c>
      <c r="G144" s="253"/>
      <c r="H144" s="253"/>
      <c r="I144" s="253"/>
      <c r="J144" s="153"/>
      <c r="K144" s="155">
        <f>K130</f>
        <v>363.85999999999996</v>
      </c>
      <c r="L144" s="153"/>
      <c r="M144" s="153"/>
      <c r="N144" s="153"/>
      <c r="O144" s="153"/>
      <c r="P144" s="153"/>
      <c r="Q144" s="153"/>
      <c r="R144" s="156"/>
      <c r="T144" s="157"/>
      <c r="U144" s="153"/>
      <c r="V144" s="153"/>
      <c r="W144" s="153"/>
      <c r="X144" s="153"/>
      <c r="Y144" s="153"/>
      <c r="Z144" s="153"/>
      <c r="AA144" s="158"/>
      <c r="AE144" s="11" t="s">
        <v>91</v>
      </c>
      <c r="AF144" s="11" t="s">
        <v>29</v>
      </c>
      <c r="AG144" s="11" t="s">
        <v>71</v>
      </c>
      <c r="AH144" s="159" t="s">
        <v>124</v>
      </c>
    </row>
    <row r="145" spans="2:50" s="10" customFormat="1" ht="16.5" customHeight="1">
      <c r="B145" s="145"/>
      <c r="C145" s="146"/>
      <c r="D145" s="146"/>
      <c r="E145" s="147" t="s">
        <v>5</v>
      </c>
      <c r="F145" s="259" t="s">
        <v>154</v>
      </c>
      <c r="G145" s="260"/>
      <c r="H145" s="260"/>
      <c r="I145" s="260"/>
      <c r="J145" s="146"/>
      <c r="K145" s="147" t="s">
        <v>5</v>
      </c>
      <c r="L145" s="146"/>
      <c r="M145" s="146"/>
      <c r="N145" s="146"/>
      <c r="O145" s="146"/>
      <c r="P145" s="146"/>
      <c r="Q145" s="146"/>
      <c r="R145" s="148"/>
      <c r="T145" s="149"/>
      <c r="U145" s="146"/>
      <c r="V145" s="146"/>
      <c r="W145" s="146"/>
      <c r="X145" s="146"/>
      <c r="Y145" s="146"/>
      <c r="Z145" s="146"/>
      <c r="AA145" s="150"/>
      <c r="AE145" s="10" t="s">
        <v>73</v>
      </c>
      <c r="AF145" s="10" t="s">
        <v>29</v>
      </c>
      <c r="AG145" s="10" t="s">
        <v>71</v>
      </c>
      <c r="AH145" s="151" t="s">
        <v>124</v>
      </c>
    </row>
    <row r="146" spans="2:50" s="11" customFormat="1" ht="16.5" customHeight="1">
      <c r="B146" s="152"/>
      <c r="C146" s="153"/>
      <c r="D146" s="153"/>
      <c r="E146" s="154" t="s">
        <v>5</v>
      </c>
      <c r="F146" s="252" t="s">
        <v>434</v>
      </c>
      <c r="G146" s="253"/>
      <c r="H146" s="253"/>
      <c r="I146" s="253"/>
      <c r="J146" s="153"/>
      <c r="K146" s="155">
        <f>445.53*0.3</f>
        <v>133.65899999999999</v>
      </c>
      <c r="L146" s="153"/>
      <c r="M146" s="153"/>
      <c r="N146" s="153"/>
      <c r="O146" s="153"/>
      <c r="P146" s="153"/>
      <c r="Q146" s="153"/>
      <c r="R146" s="156"/>
      <c r="T146" s="157"/>
      <c r="U146" s="153"/>
      <c r="V146" s="153"/>
      <c r="W146" s="153"/>
      <c r="X146" s="153"/>
      <c r="Y146" s="153"/>
      <c r="Z146" s="153"/>
      <c r="AA146" s="158"/>
      <c r="AE146" s="11" t="s">
        <v>91</v>
      </c>
      <c r="AF146" s="11" t="s">
        <v>29</v>
      </c>
      <c r="AG146" s="11" t="s">
        <v>71</v>
      </c>
      <c r="AH146" s="159" t="s">
        <v>124</v>
      </c>
    </row>
    <row r="147" spans="2:50" s="12" customFormat="1" ht="16.5" customHeight="1">
      <c r="B147" s="160"/>
      <c r="C147" s="161"/>
      <c r="D147" s="161"/>
      <c r="E147" s="162" t="s">
        <v>5</v>
      </c>
      <c r="F147" s="256" t="s">
        <v>128</v>
      </c>
      <c r="G147" s="257"/>
      <c r="H147" s="257"/>
      <c r="I147" s="257"/>
      <c r="J147" s="161"/>
      <c r="K147" s="163">
        <f>K146+K144+K142+K140+K138</f>
        <v>1512.4504999999999</v>
      </c>
      <c r="L147" s="161"/>
      <c r="M147" s="161"/>
      <c r="N147" s="161"/>
      <c r="O147" s="161"/>
      <c r="P147" s="161"/>
      <c r="Q147" s="161"/>
      <c r="R147" s="164"/>
      <c r="T147" s="165"/>
      <c r="U147" s="161"/>
      <c r="V147" s="161"/>
      <c r="W147" s="161"/>
      <c r="X147" s="161"/>
      <c r="Y147" s="161"/>
      <c r="Z147" s="161"/>
      <c r="AA147" s="166"/>
      <c r="AE147" s="12" t="s">
        <v>127</v>
      </c>
      <c r="AF147" s="12" t="s">
        <v>29</v>
      </c>
      <c r="AG147" s="12" t="s">
        <v>73</v>
      </c>
      <c r="AH147" s="167" t="s">
        <v>124</v>
      </c>
    </row>
    <row r="148" spans="2:50" s="1" customFormat="1" ht="16.5" customHeight="1">
      <c r="B148" s="135"/>
      <c r="C148" s="136" t="s">
        <v>203</v>
      </c>
      <c r="D148" s="136" t="s">
        <v>125</v>
      </c>
      <c r="E148" s="137" t="s">
        <v>136</v>
      </c>
      <c r="F148" s="258" t="s">
        <v>137</v>
      </c>
      <c r="G148" s="258"/>
      <c r="H148" s="258"/>
      <c r="I148" s="258"/>
      <c r="J148" s="138" t="s">
        <v>138</v>
      </c>
      <c r="K148" s="139">
        <v>148.5</v>
      </c>
      <c r="L148" s="251">
        <v>0</v>
      </c>
      <c r="M148" s="251"/>
      <c r="N148" s="251">
        <f>L148*K148</f>
        <v>0</v>
      </c>
      <c r="O148" s="251"/>
      <c r="P148" s="251"/>
      <c r="Q148" s="251"/>
      <c r="R148" s="140"/>
      <c r="T148" s="141" t="s">
        <v>5</v>
      </c>
      <c r="U148" s="42" t="s">
        <v>37</v>
      </c>
      <c r="V148" s="142">
        <v>0.32</v>
      </c>
      <c r="W148" s="142">
        <f>V148*K148</f>
        <v>47.52</v>
      </c>
      <c r="X148" s="142">
        <v>1.7600000000000001E-3</v>
      </c>
      <c r="Y148" s="142">
        <f>X148*K148</f>
        <v>0.26136000000000004</v>
      </c>
      <c r="Z148" s="142">
        <v>0</v>
      </c>
      <c r="AA148" s="143">
        <f>Z148*K148</f>
        <v>0</v>
      </c>
      <c r="AH148" s="20" t="s">
        <v>124</v>
      </c>
      <c r="AN148" s="144">
        <f>IF(U148="základní",N148,0)</f>
        <v>0</v>
      </c>
      <c r="AO148" s="144">
        <f>IF(U148="snížená",N148,0)</f>
        <v>0</v>
      </c>
      <c r="AP148" s="144">
        <f>IF(U148="zákl. přenesená",N148,0)</f>
        <v>0</v>
      </c>
      <c r="AQ148" s="144">
        <f>IF(U148="sníž. přenesená",N148,0)</f>
        <v>0</v>
      </c>
      <c r="AR148" s="144">
        <f>IF(U148="nulová",N148,0)</f>
        <v>0</v>
      </c>
      <c r="AS148" s="20" t="s">
        <v>73</v>
      </c>
      <c r="AT148" s="144">
        <f>ROUND(L148*K148,2)</f>
        <v>0</v>
      </c>
      <c r="AU148" s="20" t="s">
        <v>127</v>
      </c>
      <c r="AV148" s="20" t="s">
        <v>337</v>
      </c>
      <c r="AX148" s="144"/>
    </row>
    <row r="149" spans="2:50" s="10" customFormat="1" ht="16.5" customHeight="1">
      <c r="B149" s="145"/>
      <c r="C149" s="146"/>
      <c r="D149" s="146"/>
      <c r="E149" s="147" t="s">
        <v>5</v>
      </c>
      <c r="F149" s="261" t="s">
        <v>139</v>
      </c>
      <c r="G149" s="262"/>
      <c r="H149" s="262"/>
      <c r="I149" s="262"/>
      <c r="J149" s="146"/>
      <c r="K149" s="147" t="s">
        <v>5</v>
      </c>
      <c r="L149" s="146"/>
      <c r="M149" s="146"/>
      <c r="N149" s="146"/>
      <c r="O149" s="146"/>
      <c r="P149" s="146"/>
      <c r="Q149" s="146"/>
      <c r="R149" s="148"/>
      <c r="T149" s="149"/>
      <c r="U149" s="146"/>
      <c r="V149" s="146"/>
      <c r="W149" s="146"/>
      <c r="X149" s="146"/>
      <c r="Y149" s="146"/>
      <c r="Z149" s="146"/>
      <c r="AA149" s="150"/>
      <c r="AE149" s="10" t="s">
        <v>73</v>
      </c>
      <c r="AF149" s="10" t="s">
        <v>29</v>
      </c>
      <c r="AG149" s="10" t="s">
        <v>71</v>
      </c>
      <c r="AH149" s="151" t="s">
        <v>124</v>
      </c>
    </row>
    <row r="150" spans="2:50" s="11" customFormat="1" ht="16.5" customHeight="1">
      <c r="B150" s="152"/>
      <c r="C150" s="153"/>
      <c r="D150" s="153"/>
      <c r="E150" s="154" t="s">
        <v>5</v>
      </c>
      <c r="F150" s="252">
        <v>153.55000000000001</v>
      </c>
      <c r="G150" s="253"/>
      <c r="H150" s="253"/>
      <c r="I150" s="253"/>
      <c r="J150" s="153"/>
      <c r="K150" s="155">
        <v>153.55000000000001</v>
      </c>
      <c r="L150" s="153"/>
      <c r="M150" s="153"/>
      <c r="N150" s="153"/>
      <c r="O150" s="153"/>
      <c r="P150" s="153"/>
      <c r="Q150" s="153"/>
      <c r="R150" s="156"/>
      <c r="T150" s="157"/>
      <c r="U150" s="153"/>
      <c r="V150" s="153"/>
      <c r="W150" s="153"/>
      <c r="X150" s="153"/>
      <c r="Y150" s="153"/>
      <c r="Z150" s="153"/>
      <c r="AA150" s="158"/>
      <c r="AE150" s="11" t="s">
        <v>91</v>
      </c>
      <c r="AF150" s="11" t="s">
        <v>29</v>
      </c>
      <c r="AG150" s="11" t="s">
        <v>71</v>
      </c>
      <c r="AH150" s="159" t="s">
        <v>124</v>
      </c>
    </row>
    <row r="151" spans="2:50" s="12" customFormat="1" ht="16.5" customHeight="1">
      <c r="B151" s="160"/>
      <c r="C151" s="161"/>
      <c r="D151" s="161"/>
      <c r="E151" s="162" t="s">
        <v>5</v>
      </c>
      <c r="F151" s="256" t="s">
        <v>128</v>
      </c>
      <c r="G151" s="257"/>
      <c r="H151" s="257"/>
      <c r="I151" s="257"/>
      <c r="J151" s="161"/>
      <c r="K151" s="163">
        <f>K150</f>
        <v>153.55000000000001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E151" s="12" t="s">
        <v>127</v>
      </c>
      <c r="AF151" s="12" t="s">
        <v>29</v>
      </c>
      <c r="AG151" s="12" t="s">
        <v>73</v>
      </c>
      <c r="AH151" s="167" t="s">
        <v>124</v>
      </c>
    </row>
    <row r="152" spans="2:50" s="1" customFormat="1" ht="25.5" customHeight="1">
      <c r="B152" s="135"/>
      <c r="C152" s="136" t="s">
        <v>91</v>
      </c>
      <c r="D152" s="136" t="s">
        <v>125</v>
      </c>
      <c r="E152" s="137" t="s">
        <v>142</v>
      </c>
      <c r="F152" s="258" t="s">
        <v>143</v>
      </c>
      <c r="G152" s="258"/>
      <c r="H152" s="258"/>
      <c r="I152" s="258"/>
      <c r="J152" s="138" t="s">
        <v>126</v>
      </c>
      <c r="K152" s="139">
        <f>K155+K157+K159+K161</f>
        <v>1398.2914999999996</v>
      </c>
      <c r="L152" s="251">
        <v>0</v>
      </c>
      <c r="M152" s="251"/>
      <c r="N152" s="251">
        <f>L152*K152</f>
        <v>0</v>
      </c>
      <c r="O152" s="251"/>
      <c r="P152" s="251"/>
      <c r="Q152" s="251"/>
      <c r="R152" s="140"/>
      <c r="T152" s="141" t="s">
        <v>5</v>
      </c>
      <c r="U152" s="42" t="s">
        <v>37</v>
      </c>
      <c r="V152" s="142">
        <v>0.46</v>
      </c>
      <c r="W152" s="142">
        <f>V152*K152</f>
        <v>643.21408999999983</v>
      </c>
      <c r="X152" s="142">
        <v>2.6360000000000001E-2</v>
      </c>
      <c r="Y152" s="142">
        <f>X152*K152</f>
        <v>36.858963939999988</v>
      </c>
      <c r="Z152" s="142">
        <v>0</v>
      </c>
      <c r="AA152" s="143">
        <f>Z152*K152</f>
        <v>0</v>
      </c>
      <c r="AH152" s="20" t="s">
        <v>124</v>
      </c>
      <c r="AN152" s="144">
        <f>IF(U152="základní",N152,0)</f>
        <v>0</v>
      </c>
      <c r="AO152" s="144">
        <f>IF(U152="snížená",N152,0)</f>
        <v>0</v>
      </c>
      <c r="AP152" s="144">
        <f>IF(U152="zákl. přenesená",N152,0)</f>
        <v>0</v>
      </c>
      <c r="AQ152" s="144">
        <f>IF(U152="sníž. přenesená",N152,0)</f>
        <v>0</v>
      </c>
      <c r="AR152" s="144">
        <f>IF(U152="nulová",N152,0)</f>
        <v>0</v>
      </c>
      <c r="AS152" s="20" t="s">
        <v>73</v>
      </c>
      <c r="AT152" s="144">
        <f>ROUND(L152*K152,2)</f>
        <v>0</v>
      </c>
      <c r="AU152" s="20" t="s">
        <v>127</v>
      </c>
      <c r="AV152" s="20" t="s">
        <v>339</v>
      </c>
      <c r="AX152" s="144"/>
    </row>
    <row r="153" spans="2:50" s="10" customFormat="1" ht="16.5" customHeight="1">
      <c r="B153" s="145"/>
      <c r="C153" s="146"/>
      <c r="D153" s="146"/>
      <c r="E153" s="147" t="s">
        <v>5</v>
      </c>
      <c r="F153" s="261" t="s">
        <v>144</v>
      </c>
      <c r="G153" s="262"/>
      <c r="H153" s="262"/>
      <c r="I153" s="262"/>
      <c r="J153" s="146"/>
      <c r="K153" s="147" t="s">
        <v>5</v>
      </c>
      <c r="L153" s="146"/>
      <c r="M153" s="146"/>
      <c r="N153" s="146"/>
      <c r="O153" s="146"/>
      <c r="P153" s="146"/>
      <c r="Q153" s="146"/>
      <c r="R153" s="148"/>
      <c r="T153" s="149"/>
      <c r="U153" s="146"/>
      <c r="V153" s="146"/>
      <c r="W153" s="146"/>
      <c r="X153" s="146"/>
      <c r="Y153" s="146"/>
      <c r="Z153" s="146"/>
      <c r="AA153" s="150"/>
      <c r="AE153" s="10" t="s">
        <v>73</v>
      </c>
      <c r="AF153" s="10" t="s">
        <v>29</v>
      </c>
      <c r="AG153" s="10" t="s">
        <v>71</v>
      </c>
      <c r="AH153" s="151" t="s">
        <v>124</v>
      </c>
    </row>
    <row r="154" spans="2:50" s="10" customFormat="1" ht="16.5" customHeight="1">
      <c r="B154" s="145"/>
      <c r="C154" s="146"/>
      <c r="D154" s="146"/>
      <c r="E154" s="147" t="s">
        <v>5</v>
      </c>
      <c r="F154" s="259" t="s">
        <v>332</v>
      </c>
      <c r="G154" s="260"/>
      <c r="H154" s="260"/>
      <c r="I154" s="260"/>
      <c r="J154" s="146"/>
      <c r="K154" s="147" t="s">
        <v>5</v>
      </c>
      <c r="L154" s="146"/>
      <c r="M154" s="146"/>
      <c r="N154" s="146"/>
      <c r="O154" s="146"/>
      <c r="P154" s="146"/>
      <c r="Q154" s="146"/>
      <c r="R154" s="148"/>
      <c r="T154" s="149"/>
      <c r="U154" s="146"/>
      <c r="V154" s="146"/>
      <c r="W154" s="146"/>
      <c r="X154" s="146"/>
      <c r="Y154" s="146"/>
      <c r="Z154" s="146"/>
      <c r="AA154" s="150"/>
      <c r="AE154" s="10" t="s">
        <v>73</v>
      </c>
      <c r="AF154" s="10" t="s">
        <v>29</v>
      </c>
      <c r="AG154" s="10" t="s">
        <v>71</v>
      </c>
      <c r="AH154" s="151" t="s">
        <v>124</v>
      </c>
    </row>
    <row r="155" spans="2:50" s="11" customFormat="1" ht="25.5" customHeight="1">
      <c r="B155" s="152"/>
      <c r="C155" s="153"/>
      <c r="D155" s="153"/>
      <c r="E155" s="154" t="s">
        <v>5</v>
      </c>
      <c r="F155" s="252" t="s">
        <v>429</v>
      </c>
      <c r="G155" s="253"/>
      <c r="H155" s="253"/>
      <c r="I155" s="253"/>
      <c r="J155" s="153"/>
      <c r="K155" s="155">
        <f>18.55*11.2+2.1*2*10.7+10-4*1.35*2.45-1.4*2.4-1.95*2.45</f>
        <v>241.33249999999998</v>
      </c>
      <c r="L155" s="153"/>
      <c r="M155" s="153"/>
      <c r="N155" s="153"/>
      <c r="O155" s="153"/>
      <c r="P155" s="153"/>
      <c r="Q155" s="153"/>
      <c r="R155" s="156"/>
      <c r="T155" s="157"/>
      <c r="U155" s="153"/>
      <c r="V155" s="153"/>
      <c r="W155" s="153"/>
      <c r="X155" s="153"/>
      <c r="Y155" s="153"/>
      <c r="Z155" s="153"/>
      <c r="AA155" s="158"/>
      <c r="AE155" s="11" t="s">
        <v>91</v>
      </c>
      <c r="AF155" s="11" t="s">
        <v>29</v>
      </c>
      <c r="AG155" s="11" t="s">
        <v>71</v>
      </c>
      <c r="AH155" s="159" t="s">
        <v>124</v>
      </c>
    </row>
    <row r="156" spans="2:50" s="10" customFormat="1" ht="16.5" customHeight="1">
      <c r="B156" s="145"/>
      <c r="C156" s="146"/>
      <c r="D156" s="146"/>
      <c r="E156" s="147" t="s">
        <v>5</v>
      </c>
      <c r="F156" s="259" t="s">
        <v>333</v>
      </c>
      <c r="G156" s="260"/>
      <c r="H156" s="260"/>
      <c r="I156" s="260"/>
      <c r="J156" s="146"/>
      <c r="K156" s="147" t="s">
        <v>5</v>
      </c>
      <c r="L156" s="146"/>
      <c r="M156" s="146"/>
      <c r="N156" s="146"/>
      <c r="O156" s="146"/>
      <c r="P156" s="146"/>
      <c r="Q156" s="146"/>
      <c r="R156" s="148"/>
      <c r="T156" s="149"/>
      <c r="U156" s="146"/>
      <c r="V156" s="146"/>
      <c r="W156" s="146"/>
      <c r="X156" s="146"/>
      <c r="Y156" s="146"/>
      <c r="Z156" s="146"/>
      <c r="AA156" s="150"/>
      <c r="AE156" s="10" t="s">
        <v>73</v>
      </c>
      <c r="AF156" s="10" t="s">
        <v>29</v>
      </c>
      <c r="AG156" s="10" t="s">
        <v>71</v>
      </c>
      <c r="AH156" s="151" t="s">
        <v>124</v>
      </c>
    </row>
    <row r="157" spans="2:50" s="11" customFormat="1" ht="51" customHeight="1">
      <c r="B157" s="152"/>
      <c r="C157" s="153"/>
      <c r="D157" s="153"/>
      <c r="E157" s="154" t="s">
        <v>5</v>
      </c>
      <c r="F157" s="252" t="s">
        <v>436</v>
      </c>
      <c r="G157" s="253"/>
      <c r="H157" s="253"/>
      <c r="I157" s="253"/>
      <c r="J157" s="153"/>
      <c r="K157" s="155">
        <f>5*5.2+3.82*10.7+8.7*4.4+3.8*10.7+3.9*10.7+4.18*10.7+4.91*10.7+7.3*4.5-3*1.35*2.2-2*1.15*2.2-1.55*2.45-1.35*2.5-3*1.35*2.45-2*1.15*2.2-1.3*2.45</f>
        <v>278.34699999999992</v>
      </c>
      <c r="L157" s="153"/>
      <c r="M157" s="153"/>
      <c r="N157" s="153"/>
      <c r="O157" s="153"/>
      <c r="P157" s="153"/>
      <c r="Q157" s="153"/>
      <c r="R157" s="156"/>
      <c r="T157" s="157"/>
      <c r="U157" s="153"/>
      <c r="V157" s="153"/>
      <c r="W157" s="153"/>
      <c r="X157" s="153"/>
      <c r="Y157" s="153"/>
      <c r="Z157" s="153"/>
      <c r="AA157" s="158"/>
      <c r="AE157" s="11" t="s">
        <v>91</v>
      </c>
      <c r="AF157" s="11" t="s">
        <v>29</v>
      </c>
      <c r="AG157" s="11" t="s">
        <v>71</v>
      </c>
      <c r="AH157" s="159" t="s">
        <v>124</v>
      </c>
    </row>
    <row r="158" spans="2:50" s="10" customFormat="1" ht="16.5" customHeight="1">
      <c r="B158" s="145"/>
      <c r="C158" s="146"/>
      <c r="D158" s="146"/>
      <c r="E158" s="147" t="s">
        <v>5</v>
      </c>
      <c r="F158" s="259" t="s">
        <v>334</v>
      </c>
      <c r="G158" s="260"/>
      <c r="H158" s="260"/>
      <c r="I158" s="260"/>
      <c r="J158" s="146"/>
      <c r="K158" s="147" t="s">
        <v>5</v>
      </c>
      <c r="L158" s="146"/>
      <c r="M158" s="146"/>
      <c r="N158" s="146"/>
      <c r="O158" s="146"/>
      <c r="P158" s="146"/>
      <c r="Q158" s="146"/>
      <c r="R158" s="148"/>
      <c r="T158" s="149"/>
      <c r="U158" s="146"/>
      <c r="V158" s="146"/>
      <c r="W158" s="146"/>
      <c r="X158" s="146"/>
      <c r="Y158" s="146"/>
      <c r="Z158" s="146"/>
      <c r="AA158" s="150"/>
      <c r="AE158" s="10" t="s">
        <v>73</v>
      </c>
      <c r="AF158" s="10" t="s">
        <v>29</v>
      </c>
      <c r="AG158" s="10" t="s">
        <v>71</v>
      </c>
      <c r="AH158" s="151" t="s">
        <v>124</v>
      </c>
    </row>
    <row r="159" spans="2:50" s="11" customFormat="1" ht="51" customHeight="1">
      <c r="B159" s="152"/>
      <c r="C159" s="153"/>
      <c r="D159" s="153"/>
      <c r="E159" s="154" t="s">
        <v>5</v>
      </c>
      <c r="F159" s="252" t="s">
        <v>431</v>
      </c>
      <c r="G159" s="253"/>
      <c r="H159" s="253"/>
      <c r="I159" s="253"/>
      <c r="J159" s="153"/>
      <c r="K159" s="155">
        <f>11.33*10.7+7.52*10.7+15.65*10.7+12.36*10.7-6*5+13.55*10.7-5*5.8-1.38*3.5-3*1.35*2.45-13*1.15*2.45-2*1.05*2.45-1.5*2.9-2*1.35*2.45-2*1.05*2.45</f>
        <v>514.75199999999984</v>
      </c>
      <c r="L159" s="153"/>
      <c r="M159" s="153"/>
      <c r="N159" s="153"/>
      <c r="O159" s="153"/>
      <c r="P159" s="153"/>
      <c r="Q159" s="153"/>
      <c r="R159" s="156"/>
      <c r="T159" s="157"/>
      <c r="U159" s="153"/>
      <c r="V159" s="153"/>
      <c r="W159" s="153"/>
      <c r="X159" s="153"/>
      <c r="Y159" s="153"/>
      <c r="Z159" s="153"/>
      <c r="AA159" s="158"/>
      <c r="AE159" s="11" t="s">
        <v>91</v>
      </c>
      <c r="AF159" s="11" t="s">
        <v>29</v>
      </c>
      <c r="AG159" s="11" t="s">
        <v>71</v>
      </c>
      <c r="AH159" s="159" t="s">
        <v>124</v>
      </c>
    </row>
    <row r="160" spans="2:50" s="10" customFormat="1" ht="16.5" customHeight="1">
      <c r="B160" s="145"/>
      <c r="C160" s="146"/>
      <c r="D160" s="146"/>
      <c r="E160" s="147" t="s">
        <v>5</v>
      </c>
      <c r="F160" s="259" t="s">
        <v>335</v>
      </c>
      <c r="G160" s="260"/>
      <c r="H160" s="260"/>
      <c r="I160" s="260"/>
      <c r="J160" s="146"/>
      <c r="K160" s="147" t="s">
        <v>5</v>
      </c>
      <c r="L160" s="146"/>
      <c r="M160" s="146"/>
      <c r="N160" s="146"/>
      <c r="O160" s="146"/>
      <c r="P160" s="146"/>
      <c r="Q160" s="146"/>
      <c r="R160" s="148"/>
      <c r="T160" s="149"/>
      <c r="U160" s="146"/>
      <c r="V160" s="146"/>
      <c r="W160" s="146"/>
      <c r="X160" s="146"/>
      <c r="Y160" s="146"/>
      <c r="Z160" s="146"/>
      <c r="AA160" s="150"/>
      <c r="AE160" s="10" t="s">
        <v>73</v>
      </c>
      <c r="AF160" s="10" t="s">
        <v>29</v>
      </c>
      <c r="AG160" s="10" t="s">
        <v>71</v>
      </c>
      <c r="AH160" s="151" t="s">
        <v>124</v>
      </c>
    </row>
    <row r="161" spans="2:50" s="11" customFormat="1" ht="25.5" customHeight="1">
      <c r="B161" s="152"/>
      <c r="C161" s="153"/>
      <c r="D161" s="153"/>
      <c r="E161" s="154" t="s">
        <v>5</v>
      </c>
      <c r="F161" s="252" t="s">
        <v>433</v>
      </c>
      <c r="G161" s="253"/>
      <c r="H161" s="253"/>
      <c r="I161" s="253"/>
      <c r="J161" s="153"/>
      <c r="K161" s="155">
        <f>40.2*10.7+2*10.7-11*1.55*2.45-1.55*3.75-11*1.35*2.45-1.35*2.75</f>
        <v>363.85999999999996</v>
      </c>
      <c r="L161" s="153"/>
      <c r="M161" s="153"/>
      <c r="N161" s="153"/>
      <c r="O161" s="153"/>
      <c r="P161" s="153"/>
      <c r="Q161" s="153"/>
      <c r="R161" s="156"/>
      <c r="T161" s="157"/>
      <c r="U161" s="153"/>
      <c r="V161" s="153"/>
      <c r="W161" s="153"/>
      <c r="X161" s="153"/>
      <c r="Y161" s="153"/>
      <c r="Z161" s="153"/>
      <c r="AA161" s="158"/>
      <c r="AE161" s="11" t="s">
        <v>91</v>
      </c>
      <c r="AF161" s="11" t="s">
        <v>29</v>
      </c>
      <c r="AG161" s="11" t="s">
        <v>71</v>
      </c>
      <c r="AH161" s="159" t="s">
        <v>124</v>
      </c>
    </row>
    <row r="162" spans="2:50" s="12" customFormat="1" ht="16.5" customHeight="1">
      <c r="B162" s="160"/>
      <c r="C162" s="161"/>
      <c r="D162" s="161"/>
      <c r="E162" s="162" t="s">
        <v>5</v>
      </c>
      <c r="F162" s="256" t="s">
        <v>128</v>
      </c>
      <c r="G162" s="257"/>
      <c r="H162" s="257"/>
      <c r="I162" s="257"/>
      <c r="J162" s="161"/>
      <c r="K162" s="163">
        <f>K155+K157+K159+K161</f>
        <v>1398.2914999999996</v>
      </c>
      <c r="L162" s="161"/>
      <c r="M162" s="161"/>
      <c r="N162" s="161"/>
      <c r="O162" s="161"/>
      <c r="P162" s="161"/>
      <c r="Q162" s="161"/>
      <c r="R162" s="164"/>
      <c r="T162" s="165"/>
      <c r="U162" s="161"/>
      <c r="V162" s="161"/>
      <c r="W162" s="161"/>
      <c r="X162" s="161"/>
      <c r="Y162" s="161"/>
      <c r="Z162" s="161"/>
      <c r="AA162" s="166"/>
      <c r="AE162" s="12" t="s">
        <v>127</v>
      </c>
      <c r="AF162" s="12" t="s">
        <v>29</v>
      </c>
      <c r="AG162" s="12" t="s">
        <v>73</v>
      </c>
      <c r="AH162" s="167" t="s">
        <v>124</v>
      </c>
    </row>
    <row r="163" spans="2:50" s="1" customFormat="1" ht="25.5" customHeight="1">
      <c r="B163" s="135"/>
      <c r="C163" s="136" t="s">
        <v>206</v>
      </c>
      <c r="D163" s="136" t="s">
        <v>125</v>
      </c>
      <c r="E163" s="137" t="s">
        <v>146</v>
      </c>
      <c r="F163" s="258" t="s">
        <v>147</v>
      </c>
      <c r="G163" s="258"/>
      <c r="H163" s="258"/>
      <c r="I163" s="258"/>
      <c r="J163" s="138" t="s">
        <v>138</v>
      </c>
      <c r="K163" s="139">
        <v>148.5</v>
      </c>
      <c r="L163" s="251">
        <v>0</v>
      </c>
      <c r="M163" s="251"/>
      <c r="N163" s="251">
        <f>L163*K163</f>
        <v>0</v>
      </c>
      <c r="O163" s="251"/>
      <c r="P163" s="251"/>
      <c r="Q163" s="251"/>
      <c r="R163" s="140"/>
      <c r="T163" s="141" t="s">
        <v>5</v>
      </c>
      <c r="U163" s="42" t="s">
        <v>37</v>
      </c>
      <c r="V163" s="142">
        <v>0.41</v>
      </c>
      <c r="W163" s="142">
        <f>V163*K163</f>
        <v>60.884999999999998</v>
      </c>
      <c r="X163" s="142">
        <v>6.3E-3</v>
      </c>
      <c r="Y163" s="142">
        <f>X163*K163</f>
        <v>0.93554999999999999</v>
      </c>
      <c r="Z163" s="142">
        <v>0</v>
      </c>
      <c r="AA163" s="143">
        <f>Z163*K163</f>
        <v>0</v>
      </c>
      <c r="AH163" s="20" t="s">
        <v>124</v>
      </c>
      <c r="AN163" s="144">
        <f>IF(U163="základní",N163,0)</f>
        <v>0</v>
      </c>
      <c r="AO163" s="144">
        <f>IF(U163="snížená",N163,0)</f>
        <v>0</v>
      </c>
      <c r="AP163" s="144">
        <f>IF(U163="zákl. přenesená",N163,0)</f>
        <v>0</v>
      </c>
      <c r="AQ163" s="144">
        <f>IF(U163="sníž. přenesená",N163,0)</f>
        <v>0</v>
      </c>
      <c r="AR163" s="144">
        <f>IF(U163="nulová",N163,0)</f>
        <v>0</v>
      </c>
      <c r="AS163" s="20" t="s">
        <v>73</v>
      </c>
      <c r="AT163" s="144">
        <f>ROUND(L163*K163,2)</f>
        <v>0</v>
      </c>
      <c r="AU163" s="20" t="s">
        <v>127</v>
      </c>
      <c r="AV163" s="20" t="s">
        <v>340</v>
      </c>
      <c r="AX163" s="144"/>
    </row>
    <row r="164" spans="2:50" s="10" customFormat="1" ht="16.5" customHeight="1">
      <c r="B164" s="145"/>
      <c r="C164" s="146"/>
      <c r="D164" s="146"/>
      <c r="E164" s="147" t="s">
        <v>5</v>
      </c>
      <c r="F164" s="261" t="s">
        <v>148</v>
      </c>
      <c r="G164" s="262"/>
      <c r="H164" s="262"/>
      <c r="I164" s="262"/>
      <c r="J164" s="146"/>
      <c r="K164" s="147" t="s">
        <v>5</v>
      </c>
      <c r="L164" s="146"/>
      <c r="M164" s="146"/>
      <c r="N164" s="146"/>
      <c r="O164" s="146"/>
      <c r="P164" s="146"/>
      <c r="Q164" s="146"/>
      <c r="R164" s="148"/>
      <c r="T164" s="149"/>
      <c r="U164" s="146"/>
      <c r="V164" s="146"/>
      <c r="W164" s="146"/>
      <c r="X164" s="146"/>
      <c r="Y164" s="146"/>
      <c r="Z164" s="146"/>
      <c r="AA164" s="150"/>
      <c r="AE164" s="10" t="s">
        <v>73</v>
      </c>
      <c r="AF164" s="10" t="s">
        <v>29</v>
      </c>
      <c r="AG164" s="10" t="s">
        <v>71</v>
      </c>
      <c r="AH164" s="151" t="s">
        <v>124</v>
      </c>
    </row>
    <row r="165" spans="2:50" s="11" customFormat="1" ht="16.5" customHeight="1">
      <c r="B165" s="152"/>
      <c r="C165" s="153"/>
      <c r="D165" s="153"/>
      <c r="E165" s="154" t="s">
        <v>5</v>
      </c>
      <c r="F165" s="252" t="s">
        <v>338</v>
      </c>
      <c r="G165" s="253"/>
      <c r="H165" s="253"/>
      <c r="I165" s="253"/>
      <c r="J165" s="153"/>
      <c r="K165" s="155">
        <f>K163</f>
        <v>148.5</v>
      </c>
      <c r="L165" s="153"/>
      <c r="M165" s="153"/>
      <c r="N165" s="153"/>
      <c r="O165" s="153"/>
      <c r="P165" s="153"/>
      <c r="Q165" s="153"/>
      <c r="R165" s="156"/>
      <c r="T165" s="157"/>
      <c r="U165" s="153"/>
      <c r="V165" s="153"/>
      <c r="W165" s="153"/>
      <c r="X165" s="153"/>
      <c r="Y165" s="153"/>
      <c r="Z165" s="153"/>
      <c r="AA165" s="158"/>
      <c r="AE165" s="11" t="s">
        <v>91</v>
      </c>
      <c r="AF165" s="11" t="s">
        <v>29</v>
      </c>
      <c r="AG165" s="11" t="s">
        <v>71</v>
      </c>
      <c r="AH165" s="159" t="s">
        <v>124</v>
      </c>
    </row>
    <row r="166" spans="2:50" s="12" customFormat="1" ht="16.5" customHeight="1">
      <c r="B166" s="160"/>
      <c r="C166" s="161"/>
      <c r="D166" s="161"/>
      <c r="E166" s="162" t="s">
        <v>5</v>
      </c>
      <c r="F166" s="256" t="s">
        <v>128</v>
      </c>
      <c r="G166" s="257"/>
      <c r="H166" s="257"/>
      <c r="I166" s="257"/>
      <c r="J166" s="161"/>
      <c r="K166" s="163">
        <f>K165</f>
        <v>148.5</v>
      </c>
      <c r="L166" s="161"/>
      <c r="M166" s="161"/>
      <c r="N166" s="161"/>
      <c r="O166" s="161"/>
      <c r="P166" s="161"/>
      <c r="Q166" s="161"/>
      <c r="R166" s="164"/>
      <c r="T166" s="165"/>
      <c r="U166" s="161"/>
      <c r="V166" s="161"/>
      <c r="W166" s="161"/>
      <c r="X166" s="161"/>
      <c r="Y166" s="161"/>
      <c r="Z166" s="161"/>
      <c r="AA166" s="166"/>
      <c r="AE166" s="12" t="s">
        <v>127</v>
      </c>
      <c r="AF166" s="12" t="s">
        <v>29</v>
      </c>
      <c r="AG166" s="12" t="s">
        <v>73</v>
      </c>
      <c r="AH166" s="167" t="s">
        <v>124</v>
      </c>
    </row>
    <row r="167" spans="2:50" s="1" customFormat="1" ht="25.5" customHeight="1">
      <c r="B167" s="135"/>
      <c r="C167" s="136" t="s">
        <v>132</v>
      </c>
      <c r="D167" s="136" t="s">
        <v>125</v>
      </c>
      <c r="E167" s="137" t="s">
        <v>152</v>
      </c>
      <c r="F167" s="258" t="s">
        <v>153</v>
      </c>
      <c r="G167" s="258"/>
      <c r="H167" s="258"/>
      <c r="I167" s="258"/>
      <c r="J167" s="138" t="s">
        <v>138</v>
      </c>
      <c r="K167" s="139">
        <f>K178</f>
        <v>485.00999999999993</v>
      </c>
      <c r="L167" s="251">
        <v>0</v>
      </c>
      <c r="M167" s="251"/>
      <c r="N167" s="251">
        <f>L167*K167</f>
        <v>0</v>
      </c>
      <c r="O167" s="251"/>
      <c r="P167" s="251"/>
      <c r="Q167" s="251"/>
      <c r="R167" s="140"/>
      <c r="T167" s="141" t="s">
        <v>5</v>
      </c>
      <c r="U167" s="42" t="s">
        <v>37</v>
      </c>
      <c r="V167" s="142">
        <v>0.54</v>
      </c>
      <c r="W167" s="142">
        <f>V167*K167</f>
        <v>261.90539999999999</v>
      </c>
      <c r="X167" s="142">
        <v>2.3230000000000001E-2</v>
      </c>
      <c r="Y167" s="142">
        <f>X167*K167</f>
        <v>11.266782299999999</v>
      </c>
      <c r="Z167" s="142">
        <v>0</v>
      </c>
      <c r="AA167" s="143">
        <f>Z167*K167</f>
        <v>0</v>
      </c>
      <c r="AH167" s="20" t="s">
        <v>124</v>
      </c>
      <c r="AN167" s="144">
        <f>IF(U167="základní",N167,0)</f>
        <v>0</v>
      </c>
      <c r="AO167" s="144">
        <f>IF(U167="snížená",N167,0)</f>
        <v>0</v>
      </c>
      <c r="AP167" s="144">
        <f>IF(U167="zákl. přenesená",N167,0)</f>
        <v>0</v>
      </c>
      <c r="AQ167" s="144">
        <f>IF(U167="sníž. přenesená",N167,0)</f>
        <v>0</v>
      </c>
      <c r="AR167" s="144">
        <f>IF(U167="nulová",N167,0)</f>
        <v>0</v>
      </c>
      <c r="AS167" s="20" t="s">
        <v>73</v>
      </c>
      <c r="AT167" s="144">
        <f>ROUND(L167*K167,2)</f>
        <v>0</v>
      </c>
      <c r="AU167" s="20" t="s">
        <v>127</v>
      </c>
      <c r="AV167" s="20" t="s">
        <v>341</v>
      </c>
      <c r="AX167" s="144"/>
    </row>
    <row r="168" spans="2:50" s="10" customFormat="1" ht="16.5" customHeight="1">
      <c r="B168" s="145"/>
      <c r="C168" s="146"/>
      <c r="D168" s="146"/>
      <c r="E168" s="147" t="s">
        <v>5</v>
      </c>
      <c r="F168" s="261" t="s">
        <v>154</v>
      </c>
      <c r="G168" s="262"/>
      <c r="H168" s="262"/>
      <c r="I168" s="262"/>
      <c r="J168" s="146"/>
      <c r="K168" s="147" t="s">
        <v>5</v>
      </c>
      <c r="L168" s="146"/>
      <c r="M168" s="146"/>
      <c r="N168" s="146"/>
      <c r="O168" s="146"/>
      <c r="P168" s="146"/>
      <c r="Q168" s="146"/>
      <c r="R168" s="148"/>
      <c r="T168" s="149"/>
      <c r="U168" s="146"/>
      <c r="V168" s="146"/>
      <c r="W168" s="146"/>
      <c r="X168" s="146"/>
      <c r="Y168" s="146"/>
      <c r="Z168" s="146"/>
      <c r="AA168" s="150"/>
      <c r="AE168" s="10" t="s">
        <v>73</v>
      </c>
      <c r="AF168" s="10" t="s">
        <v>29</v>
      </c>
      <c r="AG168" s="10" t="s">
        <v>71</v>
      </c>
      <c r="AH168" s="151" t="s">
        <v>124</v>
      </c>
    </row>
    <row r="169" spans="2:50" s="10" customFormat="1" ht="16.5" customHeight="1">
      <c r="B169" s="145"/>
      <c r="C169" s="146"/>
      <c r="D169" s="146"/>
      <c r="E169" s="147" t="s">
        <v>5</v>
      </c>
      <c r="F169" s="259" t="s">
        <v>342</v>
      </c>
      <c r="G169" s="260"/>
      <c r="H169" s="260"/>
      <c r="I169" s="260"/>
      <c r="J169" s="146"/>
      <c r="K169" s="147" t="s">
        <v>5</v>
      </c>
      <c r="L169" s="146"/>
      <c r="M169" s="146"/>
      <c r="N169" s="146"/>
      <c r="O169" s="146"/>
      <c r="P169" s="146"/>
      <c r="Q169" s="146"/>
      <c r="R169" s="148"/>
      <c r="T169" s="149"/>
      <c r="U169" s="146"/>
      <c r="V169" s="146"/>
      <c r="W169" s="146"/>
      <c r="X169" s="146"/>
      <c r="Y169" s="146"/>
      <c r="Z169" s="146"/>
      <c r="AA169" s="150"/>
      <c r="AE169" s="10" t="s">
        <v>73</v>
      </c>
      <c r="AF169" s="10" t="s">
        <v>29</v>
      </c>
      <c r="AG169" s="10" t="s">
        <v>71</v>
      </c>
      <c r="AH169" s="151" t="s">
        <v>124</v>
      </c>
    </row>
    <row r="170" spans="2:50" s="10" customFormat="1" ht="16.5" customHeight="1">
      <c r="B170" s="145"/>
      <c r="C170" s="146"/>
      <c r="D170" s="146"/>
      <c r="E170" s="147" t="s">
        <v>5</v>
      </c>
      <c r="F170" s="259" t="s">
        <v>332</v>
      </c>
      <c r="G170" s="260"/>
      <c r="H170" s="260"/>
      <c r="I170" s="260"/>
      <c r="J170" s="146"/>
      <c r="K170" s="147" t="s">
        <v>5</v>
      </c>
      <c r="L170" s="146"/>
      <c r="M170" s="146"/>
      <c r="N170" s="146"/>
      <c r="O170" s="146"/>
      <c r="P170" s="146"/>
      <c r="Q170" s="146"/>
      <c r="R170" s="148"/>
      <c r="T170" s="149"/>
      <c r="U170" s="146"/>
      <c r="V170" s="146"/>
      <c r="W170" s="146"/>
      <c r="X170" s="146"/>
      <c r="Y170" s="146"/>
      <c r="Z170" s="146"/>
      <c r="AA170" s="150"/>
      <c r="AE170" s="10" t="s">
        <v>73</v>
      </c>
      <c r="AF170" s="10" t="s">
        <v>29</v>
      </c>
      <c r="AG170" s="10" t="s">
        <v>71</v>
      </c>
      <c r="AH170" s="151" t="s">
        <v>124</v>
      </c>
    </row>
    <row r="171" spans="2:50" s="11" customFormat="1" ht="16.5" customHeight="1">
      <c r="B171" s="152"/>
      <c r="C171" s="153"/>
      <c r="D171" s="153"/>
      <c r="E171" s="154" t="s">
        <v>5</v>
      </c>
      <c r="F171" s="252" t="s">
        <v>437</v>
      </c>
      <c r="G171" s="253"/>
      <c r="H171" s="253"/>
      <c r="I171" s="253"/>
      <c r="J171" s="153"/>
      <c r="K171" s="155">
        <f>4.7*1.35+8.7*2.45+1.4+4.8+1.95+2*2.95</f>
        <v>41.71</v>
      </c>
      <c r="L171" s="153"/>
      <c r="M171" s="153"/>
      <c r="N171" s="153"/>
      <c r="O171" s="153"/>
      <c r="P171" s="153"/>
      <c r="Q171" s="153"/>
      <c r="R171" s="156"/>
      <c r="T171" s="157"/>
      <c r="U171" s="153"/>
      <c r="V171" s="153"/>
      <c r="W171" s="153"/>
      <c r="X171" s="153"/>
      <c r="Y171" s="153"/>
      <c r="Z171" s="153"/>
      <c r="AA171" s="158"/>
      <c r="AE171" s="11" t="s">
        <v>91</v>
      </c>
      <c r="AF171" s="11" t="s">
        <v>29</v>
      </c>
      <c r="AG171" s="11" t="s">
        <v>71</v>
      </c>
      <c r="AH171" s="159" t="s">
        <v>124</v>
      </c>
    </row>
    <row r="172" spans="2:50" s="10" customFormat="1" ht="16.5" customHeight="1">
      <c r="B172" s="145"/>
      <c r="C172" s="146"/>
      <c r="D172" s="146"/>
      <c r="E172" s="147" t="s">
        <v>5</v>
      </c>
      <c r="F172" s="259" t="s">
        <v>333</v>
      </c>
      <c r="G172" s="260"/>
      <c r="H172" s="260"/>
      <c r="I172" s="260"/>
      <c r="J172" s="146"/>
      <c r="K172" s="147" t="s">
        <v>5</v>
      </c>
      <c r="L172" s="146"/>
      <c r="M172" s="146"/>
      <c r="N172" s="146"/>
      <c r="O172" s="146"/>
      <c r="P172" s="146"/>
      <c r="Q172" s="146"/>
      <c r="R172" s="148"/>
      <c r="T172" s="149"/>
      <c r="U172" s="146"/>
      <c r="V172" s="146"/>
      <c r="W172" s="146"/>
      <c r="X172" s="146"/>
      <c r="Y172" s="146"/>
      <c r="Z172" s="146"/>
      <c r="AA172" s="150"/>
      <c r="AE172" s="10" t="s">
        <v>73</v>
      </c>
      <c r="AF172" s="10" t="s">
        <v>29</v>
      </c>
      <c r="AG172" s="10" t="s">
        <v>71</v>
      </c>
      <c r="AH172" s="151" t="s">
        <v>124</v>
      </c>
      <c r="AX172" s="175"/>
    </row>
    <row r="173" spans="2:50" s="11" customFormat="1" ht="25.5" customHeight="1">
      <c r="B173" s="152"/>
      <c r="C173" s="153"/>
      <c r="D173" s="153"/>
      <c r="E173" s="154" t="s">
        <v>5</v>
      </c>
      <c r="F173" s="252" t="s">
        <v>426</v>
      </c>
      <c r="G173" s="253"/>
      <c r="H173" s="253"/>
      <c r="I173" s="253"/>
      <c r="J173" s="153"/>
      <c r="K173" s="155">
        <f>89.75</f>
        <v>89.75</v>
      </c>
      <c r="L173" s="153"/>
      <c r="M173" s="153"/>
      <c r="N173" s="153"/>
      <c r="O173" s="153"/>
      <c r="P173" s="153"/>
      <c r="Q173" s="153"/>
      <c r="R173" s="156"/>
      <c r="T173" s="157"/>
      <c r="U173" s="153"/>
      <c r="V173" s="153"/>
      <c r="W173" s="153"/>
      <c r="X173" s="153"/>
      <c r="Y173" s="153"/>
      <c r="Z173" s="153"/>
      <c r="AA173" s="158"/>
      <c r="AE173" s="11" t="s">
        <v>91</v>
      </c>
      <c r="AF173" s="11" t="s">
        <v>29</v>
      </c>
      <c r="AG173" s="11" t="s">
        <v>71</v>
      </c>
      <c r="AH173" s="159" t="s">
        <v>124</v>
      </c>
    </row>
    <row r="174" spans="2:50" s="10" customFormat="1" ht="16.5" customHeight="1">
      <c r="B174" s="145"/>
      <c r="C174" s="146"/>
      <c r="D174" s="146"/>
      <c r="E174" s="147" t="s">
        <v>5</v>
      </c>
      <c r="F174" s="259" t="s">
        <v>334</v>
      </c>
      <c r="G174" s="260"/>
      <c r="H174" s="260"/>
      <c r="I174" s="260"/>
      <c r="J174" s="146"/>
      <c r="K174" s="147" t="s">
        <v>5</v>
      </c>
      <c r="L174" s="146"/>
      <c r="M174" s="146"/>
      <c r="N174" s="146"/>
      <c r="O174" s="146"/>
      <c r="P174" s="146"/>
      <c r="Q174" s="146"/>
      <c r="R174" s="148"/>
      <c r="T174" s="149"/>
      <c r="U174" s="146"/>
      <c r="V174" s="146"/>
      <c r="W174" s="146"/>
      <c r="X174" s="146"/>
      <c r="Y174" s="146"/>
      <c r="Z174" s="146"/>
      <c r="AA174" s="150"/>
      <c r="AE174" s="10" t="s">
        <v>73</v>
      </c>
      <c r="AF174" s="10" t="s">
        <v>29</v>
      </c>
      <c r="AG174" s="10" t="s">
        <v>71</v>
      </c>
      <c r="AH174" s="151" t="s">
        <v>124</v>
      </c>
    </row>
    <row r="175" spans="2:50" s="11" customFormat="1" ht="25.5" customHeight="1">
      <c r="B175" s="152"/>
      <c r="C175" s="153"/>
      <c r="D175" s="153"/>
      <c r="E175" s="154" t="s">
        <v>5</v>
      </c>
      <c r="F175" s="252" t="s">
        <v>427</v>
      </c>
      <c r="G175" s="253"/>
      <c r="H175" s="253"/>
      <c r="I175" s="253"/>
      <c r="J175" s="153"/>
      <c r="K175" s="155">
        <v>170.45</v>
      </c>
      <c r="L175" s="153"/>
      <c r="M175" s="153"/>
      <c r="N175" s="153"/>
      <c r="O175" s="153"/>
      <c r="P175" s="153"/>
      <c r="Q175" s="153"/>
      <c r="R175" s="156"/>
      <c r="T175" s="157"/>
      <c r="U175" s="153"/>
      <c r="V175" s="153"/>
      <c r="W175" s="153"/>
      <c r="X175" s="153"/>
      <c r="Y175" s="153"/>
      <c r="Z175" s="153"/>
      <c r="AA175" s="158"/>
      <c r="AE175" s="11" t="s">
        <v>91</v>
      </c>
      <c r="AF175" s="11" t="s">
        <v>29</v>
      </c>
      <c r="AG175" s="11" t="s">
        <v>71</v>
      </c>
      <c r="AH175" s="159" t="s">
        <v>124</v>
      </c>
    </row>
    <row r="176" spans="2:50" s="10" customFormat="1" ht="16.5" customHeight="1">
      <c r="B176" s="145"/>
      <c r="C176" s="146"/>
      <c r="D176" s="146"/>
      <c r="E176" s="147" t="s">
        <v>5</v>
      </c>
      <c r="F176" s="259" t="s">
        <v>335</v>
      </c>
      <c r="G176" s="260"/>
      <c r="H176" s="260"/>
      <c r="I176" s="260"/>
      <c r="J176" s="146"/>
      <c r="K176" s="147" t="s">
        <v>5</v>
      </c>
      <c r="L176" s="146"/>
      <c r="M176" s="146"/>
      <c r="N176" s="146"/>
      <c r="O176" s="146"/>
      <c r="P176" s="146"/>
      <c r="Q176" s="146"/>
      <c r="R176" s="148"/>
      <c r="T176" s="149"/>
      <c r="U176" s="146"/>
      <c r="V176" s="146"/>
      <c r="W176" s="146"/>
      <c r="X176" s="146"/>
      <c r="Y176" s="146"/>
      <c r="Z176" s="146"/>
      <c r="AA176" s="150"/>
      <c r="AE176" s="10" t="s">
        <v>73</v>
      </c>
      <c r="AF176" s="10" t="s">
        <v>29</v>
      </c>
      <c r="AG176" s="10" t="s">
        <v>71</v>
      </c>
      <c r="AH176" s="151" t="s">
        <v>124</v>
      </c>
    </row>
    <row r="177" spans="2:48" s="11" customFormat="1" ht="25.5" customHeight="1">
      <c r="B177" s="152"/>
      <c r="C177" s="153"/>
      <c r="D177" s="153"/>
      <c r="E177" s="154" t="s">
        <v>5</v>
      </c>
      <c r="F177" s="252" t="s">
        <v>428</v>
      </c>
      <c r="G177" s="253"/>
      <c r="H177" s="253"/>
      <c r="I177" s="253"/>
      <c r="J177" s="153"/>
      <c r="K177" s="155">
        <v>183.1</v>
      </c>
      <c r="L177" s="153"/>
      <c r="M177" s="153"/>
      <c r="N177" s="153"/>
      <c r="O177" s="153"/>
      <c r="P177" s="153"/>
      <c r="Q177" s="153"/>
      <c r="R177" s="156"/>
      <c r="T177" s="157"/>
      <c r="U177" s="153"/>
      <c r="V177" s="153"/>
      <c r="W177" s="153"/>
      <c r="X177" s="153"/>
      <c r="Y177" s="153"/>
      <c r="Z177" s="153"/>
      <c r="AA177" s="158"/>
      <c r="AE177" s="11" t="s">
        <v>91</v>
      </c>
      <c r="AF177" s="11" t="s">
        <v>29</v>
      </c>
      <c r="AG177" s="11" t="s">
        <v>71</v>
      </c>
      <c r="AH177" s="159" t="s">
        <v>124</v>
      </c>
    </row>
    <row r="178" spans="2:48" s="12" customFormat="1" ht="16.5" customHeight="1">
      <c r="B178" s="160"/>
      <c r="C178" s="161"/>
      <c r="D178" s="161"/>
      <c r="E178" s="162" t="s">
        <v>5</v>
      </c>
      <c r="F178" s="256" t="s">
        <v>128</v>
      </c>
      <c r="G178" s="257"/>
      <c r="H178" s="257"/>
      <c r="I178" s="257"/>
      <c r="J178" s="161"/>
      <c r="K178" s="163">
        <f>K177+K175+K173+K171</f>
        <v>485.00999999999993</v>
      </c>
      <c r="L178" s="161"/>
      <c r="M178" s="161"/>
      <c r="N178" s="161"/>
      <c r="O178" s="161"/>
      <c r="P178" s="161"/>
      <c r="Q178" s="161"/>
      <c r="R178" s="164"/>
      <c r="T178" s="165"/>
      <c r="U178" s="161"/>
      <c r="V178" s="161"/>
      <c r="W178" s="161"/>
      <c r="X178" s="161"/>
      <c r="Y178" s="161"/>
      <c r="Z178" s="161"/>
      <c r="AA178" s="166"/>
      <c r="AE178" s="12" t="s">
        <v>127</v>
      </c>
      <c r="AF178" s="12" t="s">
        <v>29</v>
      </c>
      <c r="AG178" s="12" t="s">
        <v>73</v>
      </c>
      <c r="AH178" s="167" t="s">
        <v>124</v>
      </c>
    </row>
    <row r="179" spans="2:48" s="1" customFormat="1" ht="25.5" customHeight="1">
      <c r="B179" s="135"/>
      <c r="C179" s="136" t="s">
        <v>127</v>
      </c>
      <c r="D179" s="136" t="s">
        <v>125</v>
      </c>
      <c r="E179" s="137" t="s">
        <v>156</v>
      </c>
      <c r="F179" s="258" t="s">
        <v>157</v>
      </c>
      <c r="G179" s="258"/>
      <c r="H179" s="258"/>
      <c r="I179" s="258"/>
      <c r="J179" s="138" t="s">
        <v>126</v>
      </c>
      <c r="K179" s="139">
        <v>225.11799999999999</v>
      </c>
      <c r="L179" s="251">
        <v>0</v>
      </c>
      <c r="M179" s="251"/>
      <c r="N179" s="251">
        <f>L179*K179</f>
        <v>0</v>
      </c>
      <c r="O179" s="251"/>
      <c r="P179" s="251"/>
      <c r="Q179" s="251"/>
      <c r="R179" s="140"/>
      <c r="T179" s="141" t="s">
        <v>5</v>
      </c>
      <c r="U179" s="42" t="s">
        <v>37</v>
      </c>
      <c r="V179" s="142">
        <v>0.06</v>
      </c>
      <c r="W179" s="142">
        <f>V179*K179</f>
        <v>13.507079999999998</v>
      </c>
      <c r="X179" s="142">
        <v>0</v>
      </c>
      <c r="Y179" s="142">
        <f>X179*K179</f>
        <v>0</v>
      </c>
      <c r="Z179" s="142">
        <v>0</v>
      </c>
      <c r="AA179" s="143">
        <f>Z179*K179</f>
        <v>0</v>
      </c>
      <c r="AH179" s="20" t="s">
        <v>124</v>
      </c>
      <c r="AN179" s="144">
        <f>IF(U179="základní",N179,0)</f>
        <v>0</v>
      </c>
      <c r="AO179" s="144">
        <f>IF(U179="snížená",N179,0)</f>
        <v>0</v>
      </c>
      <c r="AP179" s="144">
        <f>IF(U179="zákl. přenesená",N179,0)</f>
        <v>0</v>
      </c>
      <c r="AQ179" s="144">
        <f>IF(U179="sníž. přenesená",N179,0)</f>
        <v>0</v>
      </c>
      <c r="AR179" s="144">
        <f>IF(U179="nulová",N179,0)</f>
        <v>0</v>
      </c>
      <c r="AS179" s="20" t="s">
        <v>73</v>
      </c>
      <c r="AT179" s="144">
        <f>ROUND(L179*K179,2)</f>
        <v>0</v>
      </c>
      <c r="AU179" s="20" t="s">
        <v>127</v>
      </c>
      <c r="AV179" s="20" t="s">
        <v>343</v>
      </c>
    </row>
    <row r="180" spans="2:48" s="10" customFormat="1" ht="16.5" customHeight="1">
      <c r="B180" s="145"/>
      <c r="C180" s="146"/>
      <c r="D180" s="146"/>
      <c r="E180" s="147" t="s">
        <v>5</v>
      </c>
      <c r="F180" s="261" t="s">
        <v>342</v>
      </c>
      <c r="G180" s="262"/>
      <c r="H180" s="262"/>
      <c r="I180" s="262"/>
      <c r="J180" s="146"/>
      <c r="K180" s="147" t="s">
        <v>5</v>
      </c>
      <c r="L180" s="146"/>
      <c r="M180" s="146"/>
      <c r="N180" s="146"/>
      <c r="O180" s="146"/>
      <c r="P180" s="146"/>
      <c r="Q180" s="146"/>
      <c r="R180" s="148"/>
      <c r="T180" s="149"/>
      <c r="U180" s="146"/>
      <c r="V180" s="146"/>
      <c r="W180" s="146"/>
      <c r="X180" s="146"/>
      <c r="Y180" s="146"/>
      <c r="Z180" s="146"/>
      <c r="AA180" s="150"/>
      <c r="AE180" s="10" t="s">
        <v>73</v>
      </c>
      <c r="AF180" s="10" t="s">
        <v>29</v>
      </c>
      <c r="AG180" s="10" t="s">
        <v>71</v>
      </c>
      <c r="AH180" s="151" t="s">
        <v>124</v>
      </c>
    </row>
    <row r="181" spans="2:48" s="10" customFormat="1" ht="16.5" customHeight="1">
      <c r="B181" s="145"/>
      <c r="C181" s="146"/>
      <c r="D181" s="146"/>
      <c r="E181" s="147" t="s">
        <v>5</v>
      </c>
      <c r="F181" s="259" t="s">
        <v>332</v>
      </c>
      <c r="G181" s="260"/>
      <c r="H181" s="260"/>
      <c r="I181" s="260"/>
      <c r="J181" s="146"/>
      <c r="K181" s="147" t="s">
        <v>5</v>
      </c>
      <c r="L181" s="146"/>
      <c r="M181" s="146"/>
      <c r="N181" s="146"/>
      <c r="O181" s="146"/>
      <c r="P181" s="146"/>
      <c r="Q181" s="146"/>
      <c r="R181" s="148"/>
      <c r="T181" s="149"/>
      <c r="U181" s="146"/>
      <c r="V181" s="146"/>
      <c r="W181" s="146"/>
      <c r="X181" s="146"/>
      <c r="Y181" s="146"/>
      <c r="Z181" s="146"/>
      <c r="AA181" s="150"/>
      <c r="AE181" s="10" t="s">
        <v>73</v>
      </c>
      <c r="AF181" s="10" t="s">
        <v>29</v>
      </c>
      <c r="AG181" s="10" t="s">
        <v>71</v>
      </c>
      <c r="AH181" s="151" t="s">
        <v>124</v>
      </c>
    </row>
    <row r="182" spans="2:48" s="11" customFormat="1" ht="16.5" customHeight="1">
      <c r="B182" s="152"/>
      <c r="C182" s="153"/>
      <c r="D182" s="153"/>
      <c r="E182" s="154" t="s">
        <v>5</v>
      </c>
      <c r="F182" s="252" t="s">
        <v>344</v>
      </c>
      <c r="G182" s="253"/>
      <c r="H182" s="253"/>
      <c r="I182" s="253"/>
      <c r="J182" s="153"/>
      <c r="K182" s="155">
        <v>21.367999999999999</v>
      </c>
      <c r="L182" s="153"/>
      <c r="M182" s="153"/>
      <c r="N182" s="153"/>
      <c r="O182" s="153"/>
      <c r="P182" s="153"/>
      <c r="Q182" s="153"/>
      <c r="R182" s="156"/>
      <c r="T182" s="157"/>
      <c r="U182" s="153"/>
      <c r="V182" s="153"/>
      <c r="W182" s="153"/>
      <c r="X182" s="153"/>
      <c r="Y182" s="153"/>
      <c r="Z182" s="153"/>
      <c r="AA182" s="158"/>
      <c r="AE182" s="11" t="s">
        <v>91</v>
      </c>
      <c r="AF182" s="11" t="s">
        <v>29</v>
      </c>
      <c r="AG182" s="11" t="s">
        <v>71</v>
      </c>
      <c r="AH182" s="159" t="s">
        <v>124</v>
      </c>
    </row>
    <row r="183" spans="2:48" s="10" customFormat="1" ht="16.5" customHeight="1">
      <c r="B183" s="145"/>
      <c r="C183" s="146"/>
      <c r="D183" s="146"/>
      <c r="E183" s="147" t="s">
        <v>5</v>
      </c>
      <c r="F183" s="259" t="s">
        <v>333</v>
      </c>
      <c r="G183" s="260"/>
      <c r="H183" s="260"/>
      <c r="I183" s="260"/>
      <c r="J183" s="146"/>
      <c r="K183" s="147" t="s">
        <v>5</v>
      </c>
      <c r="L183" s="146"/>
      <c r="M183" s="146"/>
      <c r="N183" s="146"/>
      <c r="O183" s="146"/>
      <c r="P183" s="146"/>
      <c r="Q183" s="146"/>
      <c r="R183" s="148"/>
      <c r="T183" s="149"/>
      <c r="U183" s="146"/>
      <c r="V183" s="146"/>
      <c r="W183" s="146"/>
      <c r="X183" s="146"/>
      <c r="Y183" s="146"/>
      <c r="Z183" s="146"/>
      <c r="AA183" s="150"/>
      <c r="AE183" s="10" t="s">
        <v>73</v>
      </c>
      <c r="AF183" s="10" t="s">
        <v>29</v>
      </c>
      <c r="AG183" s="10" t="s">
        <v>71</v>
      </c>
      <c r="AH183" s="151" t="s">
        <v>124</v>
      </c>
    </row>
    <row r="184" spans="2:48" s="11" customFormat="1" ht="25.5" customHeight="1">
      <c r="B184" s="152"/>
      <c r="C184" s="153"/>
      <c r="D184" s="153"/>
      <c r="E184" s="154" t="s">
        <v>5</v>
      </c>
      <c r="F184" s="252" t="s">
        <v>345</v>
      </c>
      <c r="G184" s="253"/>
      <c r="H184" s="253"/>
      <c r="I184" s="253"/>
      <c r="J184" s="153"/>
      <c r="K184" s="155">
        <v>42.085000000000001</v>
      </c>
      <c r="L184" s="153"/>
      <c r="M184" s="153"/>
      <c r="N184" s="153"/>
      <c r="O184" s="153"/>
      <c r="P184" s="153"/>
      <c r="Q184" s="153"/>
      <c r="R184" s="156"/>
      <c r="T184" s="157"/>
      <c r="U184" s="153"/>
      <c r="V184" s="153"/>
      <c r="W184" s="153"/>
      <c r="X184" s="153"/>
      <c r="Y184" s="153"/>
      <c r="Z184" s="153"/>
      <c r="AA184" s="158"/>
      <c r="AE184" s="11" t="s">
        <v>91</v>
      </c>
      <c r="AF184" s="11" t="s">
        <v>29</v>
      </c>
      <c r="AG184" s="11" t="s">
        <v>71</v>
      </c>
      <c r="AH184" s="159" t="s">
        <v>124</v>
      </c>
    </row>
    <row r="185" spans="2:48" s="10" customFormat="1" ht="16.5" customHeight="1">
      <c r="B185" s="145"/>
      <c r="C185" s="146"/>
      <c r="D185" s="146"/>
      <c r="E185" s="147" t="s">
        <v>5</v>
      </c>
      <c r="F185" s="259" t="s">
        <v>334</v>
      </c>
      <c r="G185" s="260"/>
      <c r="H185" s="260"/>
      <c r="I185" s="260"/>
      <c r="J185" s="146"/>
      <c r="K185" s="147" t="s">
        <v>5</v>
      </c>
      <c r="L185" s="146"/>
      <c r="M185" s="146"/>
      <c r="N185" s="146"/>
      <c r="O185" s="146"/>
      <c r="P185" s="146"/>
      <c r="Q185" s="146"/>
      <c r="R185" s="148"/>
      <c r="T185" s="149"/>
      <c r="U185" s="146"/>
      <c r="V185" s="146"/>
      <c r="W185" s="146"/>
      <c r="X185" s="146"/>
      <c r="Y185" s="146"/>
      <c r="Z185" s="146"/>
      <c r="AA185" s="150"/>
      <c r="AE185" s="10" t="s">
        <v>73</v>
      </c>
      <c r="AF185" s="10" t="s">
        <v>29</v>
      </c>
      <c r="AG185" s="10" t="s">
        <v>71</v>
      </c>
      <c r="AH185" s="151" t="s">
        <v>124</v>
      </c>
    </row>
    <row r="186" spans="2:48" s="11" customFormat="1" ht="25.5" customHeight="1">
      <c r="B186" s="152"/>
      <c r="C186" s="153"/>
      <c r="D186" s="153"/>
      <c r="E186" s="154" t="s">
        <v>5</v>
      </c>
      <c r="F186" s="252" t="s">
        <v>346</v>
      </c>
      <c r="G186" s="253"/>
      <c r="H186" s="253"/>
      <c r="I186" s="253"/>
      <c r="J186" s="153"/>
      <c r="K186" s="155">
        <v>72.635000000000005</v>
      </c>
      <c r="L186" s="153"/>
      <c r="M186" s="153"/>
      <c r="N186" s="153"/>
      <c r="O186" s="153"/>
      <c r="P186" s="153"/>
      <c r="Q186" s="153"/>
      <c r="R186" s="156"/>
      <c r="T186" s="157"/>
      <c r="U186" s="153"/>
      <c r="V186" s="153"/>
      <c r="W186" s="153"/>
      <c r="X186" s="153"/>
      <c r="Y186" s="153"/>
      <c r="Z186" s="153"/>
      <c r="AA186" s="158"/>
      <c r="AE186" s="11" t="s">
        <v>91</v>
      </c>
      <c r="AF186" s="11" t="s">
        <v>29</v>
      </c>
      <c r="AG186" s="11" t="s">
        <v>71</v>
      </c>
      <c r="AH186" s="159" t="s">
        <v>124</v>
      </c>
    </row>
    <row r="187" spans="2:48" s="10" customFormat="1" ht="16.5" customHeight="1">
      <c r="B187" s="145"/>
      <c r="C187" s="146"/>
      <c r="D187" s="146"/>
      <c r="E187" s="147" t="s">
        <v>5</v>
      </c>
      <c r="F187" s="259" t="s">
        <v>335</v>
      </c>
      <c r="G187" s="260"/>
      <c r="H187" s="260"/>
      <c r="I187" s="260"/>
      <c r="J187" s="146"/>
      <c r="K187" s="147" t="s">
        <v>5</v>
      </c>
      <c r="L187" s="146"/>
      <c r="M187" s="146"/>
      <c r="N187" s="146"/>
      <c r="O187" s="146"/>
      <c r="P187" s="146"/>
      <c r="Q187" s="146"/>
      <c r="R187" s="148"/>
      <c r="T187" s="149"/>
      <c r="U187" s="146"/>
      <c r="V187" s="146"/>
      <c r="W187" s="146"/>
      <c r="X187" s="146"/>
      <c r="Y187" s="146"/>
      <c r="Z187" s="146"/>
      <c r="AA187" s="150"/>
      <c r="AE187" s="10" t="s">
        <v>73</v>
      </c>
      <c r="AF187" s="10" t="s">
        <v>29</v>
      </c>
      <c r="AG187" s="10" t="s">
        <v>71</v>
      </c>
      <c r="AH187" s="151" t="s">
        <v>124</v>
      </c>
    </row>
    <row r="188" spans="2:48" s="11" customFormat="1" ht="25.5" customHeight="1">
      <c r="B188" s="152"/>
      <c r="C188" s="153"/>
      <c r="D188" s="153"/>
      <c r="E188" s="154" t="s">
        <v>5</v>
      </c>
      <c r="F188" s="252" t="s">
        <v>347</v>
      </c>
      <c r="G188" s="253"/>
      <c r="H188" s="253"/>
      <c r="I188" s="253"/>
      <c r="J188" s="153"/>
      <c r="K188" s="155">
        <v>89.03</v>
      </c>
      <c r="L188" s="153"/>
      <c r="M188" s="153"/>
      <c r="N188" s="153"/>
      <c r="O188" s="153"/>
      <c r="P188" s="153"/>
      <c r="Q188" s="153"/>
      <c r="R188" s="156"/>
      <c r="T188" s="157"/>
      <c r="U188" s="153"/>
      <c r="V188" s="153"/>
      <c r="W188" s="153"/>
      <c r="X188" s="153"/>
      <c r="Y188" s="153"/>
      <c r="Z188" s="153"/>
      <c r="AA188" s="158"/>
      <c r="AE188" s="11" t="s">
        <v>91</v>
      </c>
      <c r="AF188" s="11" t="s">
        <v>29</v>
      </c>
      <c r="AG188" s="11" t="s">
        <v>71</v>
      </c>
      <c r="AH188" s="159" t="s">
        <v>124</v>
      </c>
    </row>
    <row r="189" spans="2:48" s="12" customFormat="1" ht="16.5" customHeight="1">
      <c r="B189" s="160"/>
      <c r="C189" s="161"/>
      <c r="D189" s="161"/>
      <c r="E189" s="162" t="s">
        <v>5</v>
      </c>
      <c r="F189" s="256" t="s">
        <v>128</v>
      </c>
      <c r="G189" s="257"/>
      <c r="H189" s="257"/>
      <c r="I189" s="257"/>
      <c r="J189" s="161"/>
      <c r="K189" s="163">
        <v>225.11799999999999</v>
      </c>
      <c r="L189" s="161"/>
      <c r="M189" s="161"/>
      <c r="N189" s="161"/>
      <c r="O189" s="161"/>
      <c r="P189" s="161"/>
      <c r="Q189" s="161"/>
      <c r="R189" s="164"/>
      <c r="T189" s="165"/>
      <c r="U189" s="161"/>
      <c r="V189" s="161"/>
      <c r="W189" s="161"/>
      <c r="X189" s="161"/>
      <c r="Y189" s="161"/>
      <c r="Z189" s="161"/>
      <c r="AA189" s="166"/>
      <c r="AE189" s="12" t="s">
        <v>127</v>
      </c>
      <c r="AF189" s="12" t="s">
        <v>29</v>
      </c>
      <c r="AG189" s="12" t="s">
        <v>73</v>
      </c>
      <c r="AH189" s="167" t="s">
        <v>124</v>
      </c>
    </row>
    <row r="190" spans="2:48" s="9" customFormat="1" ht="29.85" customHeight="1">
      <c r="B190" s="125"/>
      <c r="C190" s="126"/>
      <c r="D190" s="134" t="s">
        <v>102</v>
      </c>
      <c r="E190" s="134"/>
      <c r="F190" s="134"/>
      <c r="G190" s="134"/>
      <c r="H190" s="134"/>
      <c r="I190" s="134"/>
      <c r="J190" s="134"/>
      <c r="K190" s="134"/>
      <c r="L190" s="134"/>
      <c r="M190" s="134"/>
      <c r="N190" s="263">
        <f>N191+N202+N204+N205+N206+N207+N208+N209+N210</f>
        <v>0</v>
      </c>
      <c r="O190" s="264"/>
      <c r="P190" s="264"/>
      <c r="Q190" s="264"/>
      <c r="R190" s="128"/>
      <c r="T190" s="129"/>
      <c r="U190" s="126"/>
      <c r="V190" s="126"/>
      <c r="W190" s="130">
        <f>SUM(W191:W220)</f>
        <v>1051.066566</v>
      </c>
      <c r="X190" s="126"/>
      <c r="Y190" s="130">
        <f>SUM(Y191:Y220)</f>
        <v>0</v>
      </c>
      <c r="Z190" s="126"/>
      <c r="AA190" s="131">
        <f>SUM(AA191:AA220)</f>
        <v>100.67898799999996</v>
      </c>
      <c r="AH190" s="132" t="s">
        <v>124</v>
      </c>
      <c r="AT190" s="133">
        <f>SUM(AT191:AT220)</f>
        <v>0</v>
      </c>
    </row>
    <row r="191" spans="2:48" s="1" customFormat="1" ht="38.25" customHeight="1">
      <c r="B191" s="135"/>
      <c r="C191" s="136" t="s">
        <v>140</v>
      </c>
      <c r="D191" s="136" t="s">
        <v>125</v>
      </c>
      <c r="E191" s="137" t="s">
        <v>161</v>
      </c>
      <c r="F191" s="258" t="s">
        <v>162</v>
      </c>
      <c r="G191" s="258"/>
      <c r="H191" s="258"/>
      <c r="I191" s="258"/>
      <c r="J191" s="138" t="s">
        <v>126</v>
      </c>
      <c r="K191" s="139">
        <f>K201</f>
        <v>1633.1490000000001</v>
      </c>
      <c r="L191" s="251">
        <v>0</v>
      </c>
      <c r="M191" s="251"/>
      <c r="N191" s="251">
        <f>L191*K191</f>
        <v>0</v>
      </c>
      <c r="O191" s="251"/>
      <c r="P191" s="251"/>
      <c r="Q191" s="251"/>
      <c r="R191" s="140"/>
      <c r="T191" s="141" t="s">
        <v>5</v>
      </c>
      <c r="U191" s="42" t="s">
        <v>37</v>
      </c>
      <c r="V191" s="142">
        <v>0.16</v>
      </c>
      <c r="W191" s="142">
        <f>V191*K191</f>
        <v>261.30384000000004</v>
      </c>
      <c r="X191" s="142">
        <v>0</v>
      </c>
      <c r="Y191" s="142">
        <f>X191*K191</f>
        <v>0</v>
      </c>
      <c r="Z191" s="142">
        <v>0</v>
      </c>
      <c r="AA191" s="143">
        <f>Z191*K191</f>
        <v>0</v>
      </c>
      <c r="AH191" s="20" t="s">
        <v>124</v>
      </c>
      <c r="AN191" s="144">
        <f>IF(U191="základní",N191,0)</f>
        <v>0</v>
      </c>
      <c r="AO191" s="144">
        <f>IF(U191="snížená",N191,0)</f>
        <v>0</v>
      </c>
      <c r="AP191" s="144">
        <f>IF(U191="zákl. přenesená",N191,0)</f>
        <v>0</v>
      </c>
      <c r="AQ191" s="144">
        <f>IF(U191="sníž. přenesená",N191,0)</f>
        <v>0</v>
      </c>
      <c r="AR191" s="144">
        <f>IF(U191="nulová",N191,0)</f>
        <v>0</v>
      </c>
      <c r="AS191" s="20" t="s">
        <v>73</v>
      </c>
      <c r="AT191" s="144">
        <f>ROUND(L191*K191,2)</f>
        <v>0</v>
      </c>
      <c r="AU191" s="20" t="s">
        <v>163</v>
      </c>
      <c r="AV191" s="20" t="s">
        <v>348</v>
      </c>
    </row>
    <row r="192" spans="2:48" s="10" customFormat="1" ht="16.5" customHeight="1">
      <c r="B192" s="145"/>
      <c r="C192" s="146"/>
      <c r="D192" s="146"/>
      <c r="E192" s="147" t="s">
        <v>5</v>
      </c>
      <c r="F192" s="261" t="s">
        <v>144</v>
      </c>
      <c r="G192" s="262"/>
      <c r="H192" s="262"/>
      <c r="I192" s="262"/>
      <c r="J192" s="146"/>
      <c r="K192" s="147" t="s">
        <v>5</v>
      </c>
      <c r="L192" s="146"/>
      <c r="M192" s="146"/>
      <c r="N192" s="146"/>
      <c r="O192" s="146"/>
      <c r="P192" s="146"/>
      <c r="Q192" s="146"/>
      <c r="R192" s="148"/>
      <c r="T192" s="149"/>
      <c r="U192" s="146"/>
      <c r="V192" s="146"/>
      <c r="W192" s="146"/>
      <c r="X192" s="146"/>
      <c r="Y192" s="146"/>
      <c r="Z192" s="146"/>
      <c r="AA192" s="150"/>
      <c r="AE192" s="10" t="s">
        <v>73</v>
      </c>
      <c r="AF192" s="10" t="s">
        <v>29</v>
      </c>
      <c r="AG192" s="10" t="s">
        <v>71</v>
      </c>
      <c r="AH192" s="151" t="s">
        <v>124</v>
      </c>
    </row>
    <row r="193" spans="2:48" s="10" customFormat="1" ht="16.5" customHeight="1">
      <c r="B193" s="145"/>
      <c r="C193" s="146"/>
      <c r="D193" s="146"/>
      <c r="E193" s="147" t="s">
        <v>5</v>
      </c>
      <c r="F193" s="259" t="s">
        <v>332</v>
      </c>
      <c r="G193" s="260"/>
      <c r="H193" s="260"/>
      <c r="I193" s="260"/>
      <c r="J193" s="146"/>
      <c r="K193" s="147" t="s">
        <v>5</v>
      </c>
      <c r="L193" s="146"/>
      <c r="M193" s="146"/>
      <c r="N193" s="146"/>
      <c r="O193" s="146"/>
      <c r="P193" s="146"/>
      <c r="Q193" s="146"/>
      <c r="R193" s="148"/>
      <c r="T193" s="149"/>
      <c r="U193" s="146"/>
      <c r="V193" s="146"/>
      <c r="W193" s="146"/>
      <c r="X193" s="146"/>
      <c r="Y193" s="146"/>
      <c r="Z193" s="146"/>
      <c r="AA193" s="150"/>
      <c r="AE193" s="10" t="s">
        <v>73</v>
      </c>
      <c r="AF193" s="10" t="s">
        <v>29</v>
      </c>
      <c r="AG193" s="10" t="s">
        <v>71</v>
      </c>
      <c r="AH193" s="151" t="s">
        <v>124</v>
      </c>
    </row>
    <row r="194" spans="2:48" s="11" customFormat="1" ht="16.5" customHeight="1">
      <c r="B194" s="152"/>
      <c r="C194" s="153"/>
      <c r="D194" s="153"/>
      <c r="E194" s="154" t="s">
        <v>5</v>
      </c>
      <c r="F194" s="252" t="s">
        <v>435</v>
      </c>
      <c r="G194" s="253"/>
      <c r="H194" s="253"/>
      <c r="I194" s="253"/>
      <c r="J194" s="153"/>
      <c r="K194" s="155">
        <f>18.55*11.2+2.1*2*10.5+10</f>
        <v>261.86</v>
      </c>
      <c r="L194" s="153"/>
      <c r="M194" s="153"/>
      <c r="N194" s="153"/>
      <c r="O194" s="153"/>
      <c r="P194" s="153"/>
      <c r="Q194" s="153"/>
      <c r="R194" s="156"/>
      <c r="T194" s="157"/>
      <c r="U194" s="153"/>
      <c r="V194" s="153"/>
      <c r="W194" s="153"/>
      <c r="X194" s="153"/>
      <c r="Y194" s="153"/>
      <c r="Z194" s="153"/>
      <c r="AA194" s="158"/>
      <c r="AE194" s="11" t="s">
        <v>91</v>
      </c>
      <c r="AF194" s="11" t="s">
        <v>29</v>
      </c>
      <c r="AG194" s="11" t="s">
        <v>71</v>
      </c>
      <c r="AH194" s="159" t="s">
        <v>124</v>
      </c>
    </row>
    <row r="195" spans="2:48" s="10" customFormat="1" ht="16.5" customHeight="1">
      <c r="B195" s="145"/>
      <c r="C195" s="146"/>
      <c r="D195" s="146"/>
      <c r="E195" s="147" t="s">
        <v>5</v>
      </c>
      <c r="F195" s="259" t="s">
        <v>333</v>
      </c>
      <c r="G195" s="260"/>
      <c r="H195" s="260"/>
      <c r="I195" s="260"/>
      <c r="J195" s="146"/>
      <c r="K195" s="147" t="s">
        <v>5</v>
      </c>
      <c r="L195" s="146"/>
      <c r="M195" s="146"/>
      <c r="N195" s="146"/>
      <c r="O195" s="146"/>
      <c r="P195" s="146"/>
      <c r="Q195" s="146"/>
      <c r="R195" s="148"/>
      <c r="T195" s="149"/>
      <c r="U195" s="146"/>
      <c r="V195" s="146"/>
      <c r="W195" s="146"/>
      <c r="X195" s="146"/>
      <c r="Y195" s="146"/>
      <c r="Z195" s="146"/>
      <c r="AA195" s="150"/>
      <c r="AE195" s="10" t="s">
        <v>73</v>
      </c>
      <c r="AF195" s="10" t="s">
        <v>29</v>
      </c>
      <c r="AG195" s="10" t="s">
        <v>71</v>
      </c>
      <c r="AH195" s="151" t="s">
        <v>124</v>
      </c>
    </row>
    <row r="196" spans="2:48" s="11" customFormat="1" ht="25.5" customHeight="1">
      <c r="B196" s="152"/>
      <c r="C196" s="153"/>
      <c r="D196" s="153"/>
      <c r="E196" s="154" t="s">
        <v>5</v>
      </c>
      <c r="F196" s="252" t="s">
        <v>438</v>
      </c>
      <c r="G196" s="253"/>
      <c r="H196" s="253"/>
      <c r="I196" s="253"/>
      <c r="J196" s="153"/>
      <c r="K196" s="155">
        <f>5*5.2+3.82*11.2+9.7*4.2+3.8*11.2+3.44*11.2+4.18*11.5+4.91*11.2+7.9*4.5</f>
        <v>329.22399999999999</v>
      </c>
      <c r="L196" s="153"/>
      <c r="M196" s="153"/>
      <c r="N196" s="153"/>
      <c r="O196" s="153"/>
      <c r="P196" s="153"/>
      <c r="Q196" s="153"/>
      <c r="R196" s="156"/>
      <c r="T196" s="157"/>
      <c r="U196" s="153"/>
      <c r="V196" s="153"/>
      <c r="W196" s="153"/>
      <c r="X196" s="153"/>
      <c r="Y196" s="153"/>
      <c r="Z196" s="153"/>
      <c r="AA196" s="158"/>
      <c r="AE196" s="11" t="s">
        <v>91</v>
      </c>
      <c r="AF196" s="11" t="s">
        <v>29</v>
      </c>
      <c r="AG196" s="11" t="s">
        <v>71</v>
      </c>
      <c r="AH196" s="159" t="s">
        <v>124</v>
      </c>
    </row>
    <row r="197" spans="2:48" s="10" customFormat="1" ht="16.5" customHeight="1">
      <c r="B197" s="145"/>
      <c r="C197" s="146"/>
      <c r="D197" s="146"/>
      <c r="E197" s="147" t="s">
        <v>5</v>
      </c>
      <c r="F197" s="259" t="s">
        <v>334</v>
      </c>
      <c r="G197" s="260"/>
      <c r="H197" s="260"/>
      <c r="I197" s="260"/>
      <c r="J197" s="146"/>
      <c r="K197" s="147" t="s">
        <v>5</v>
      </c>
      <c r="L197" s="146"/>
      <c r="M197" s="146"/>
      <c r="N197" s="146"/>
      <c r="O197" s="146"/>
      <c r="P197" s="146"/>
      <c r="Q197" s="146"/>
      <c r="R197" s="148"/>
      <c r="T197" s="149"/>
      <c r="U197" s="146"/>
      <c r="V197" s="146"/>
      <c r="W197" s="146"/>
      <c r="X197" s="146"/>
      <c r="Y197" s="146"/>
      <c r="Z197" s="146"/>
      <c r="AA197" s="150"/>
      <c r="AE197" s="10" t="s">
        <v>73</v>
      </c>
      <c r="AF197" s="10" t="s">
        <v>29</v>
      </c>
      <c r="AG197" s="10" t="s">
        <v>71</v>
      </c>
      <c r="AH197" s="151" t="s">
        <v>124</v>
      </c>
    </row>
    <row r="198" spans="2:48" s="11" customFormat="1" ht="25.5" customHeight="1">
      <c r="B198" s="152"/>
      <c r="C198" s="153"/>
      <c r="D198" s="153"/>
      <c r="E198" s="154" t="s">
        <v>5</v>
      </c>
      <c r="F198" s="252" t="s">
        <v>440</v>
      </c>
      <c r="G198" s="253"/>
      <c r="H198" s="253"/>
      <c r="I198" s="253"/>
      <c r="J198" s="153"/>
      <c r="K198" s="155">
        <f>11.33*11.2+6.52*11.2+14.91*11.2+12.36*11.2-6*5+11.33*11.2</f>
        <v>602.2399999999999</v>
      </c>
      <c r="L198" s="153"/>
      <c r="M198" s="153"/>
      <c r="N198" s="153"/>
      <c r="O198" s="153"/>
      <c r="P198" s="153"/>
      <c r="Q198" s="153"/>
      <c r="R198" s="156"/>
      <c r="T198" s="157"/>
      <c r="U198" s="153"/>
      <c r="V198" s="153"/>
      <c r="W198" s="153"/>
      <c r="X198" s="153"/>
      <c r="Y198" s="153"/>
      <c r="Z198" s="153"/>
      <c r="AA198" s="158"/>
      <c r="AE198" s="11" t="s">
        <v>91</v>
      </c>
      <c r="AF198" s="11" t="s">
        <v>29</v>
      </c>
      <c r="AG198" s="11" t="s">
        <v>71</v>
      </c>
      <c r="AH198" s="159" t="s">
        <v>124</v>
      </c>
    </row>
    <row r="199" spans="2:48" s="10" customFormat="1" ht="16.5" customHeight="1">
      <c r="B199" s="145"/>
      <c r="C199" s="146"/>
      <c r="D199" s="146"/>
      <c r="E199" s="147" t="s">
        <v>5</v>
      </c>
      <c r="F199" s="259" t="s">
        <v>335</v>
      </c>
      <c r="G199" s="260"/>
      <c r="H199" s="260"/>
      <c r="I199" s="260"/>
      <c r="J199" s="146"/>
      <c r="K199" s="147" t="s">
        <v>5</v>
      </c>
      <c r="L199" s="146"/>
      <c r="M199" s="146"/>
      <c r="N199" s="146"/>
      <c r="O199" s="146"/>
      <c r="P199" s="146"/>
      <c r="Q199" s="146"/>
      <c r="R199" s="148"/>
      <c r="T199" s="149"/>
      <c r="U199" s="146"/>
      <c r="V199" s="146"/>
      <c r="W199" s="146"/>
      <c r="X199" s="146"/>
      <c r="Y199" s="146"/>
      <c r="Z199" s="146"/>
      <c r="AA199" s="150"/>
      <c r="AE199" s="10" t="s">
        <v>73</v>
      </c>
      <c r="AF199" s="10" t="s">
        <v>29</v>
      </c>
      <c r="AG199" s="10" t="s">
        <v>71</v>
      </c>
      <c r="AH199" s="151" t="s">
        <v>124</v>
      </c>
    </row>
    <row r="200" spans="2:48" s="11" customFormat="1" ht="16.5" customHeight="1">
      <c r="B200" s="152"/>
      <c r="C200" s="153"/>
      <c r="D200" s="153"/>
      <c r="E200" s="154" t="s">
        <v>5</v>
      </c>
      <c r="F200" s="252" t="s">
        <v>439</v>
      </c>
      <c r="G200" s="253"/>
      <c r="H200" s="253"/>
      <c r="I200" s="253"/>
      <c r="J200" s="153"/>
      <c r="K200" s="155">
        <f>39.85*10.5+2*10.7</f>
        <v>439.82499999999999</v>
      </c>
      <c r="L200" s="153"/>
      <c r="M200" s="153"/>
      <c r="N200" s="153"/>
      <c r="O200" s="153"/>
      <c r="P200" s="153"/>
      <c r="Q200" s="153"/>
      <c r="R200" s="156"/>
      <c r="T200" s="157"/>
      <c r="U200" s="153"/>
      <c r="V200" s="153"/>
      <c r="W200" s="153"/>
      <c r="X200" s="153"/>
      <c r="Y200" s="153"/>
      <c r="Z200" s="153"/>
      <c r="AA200" s="158"/>
      <c r="AE200" s="11" t="s">
        <v>91</v>
      </c>
      <c r="AF200" s="11" t="s">
        <v>29</v>
      </c>
      <c r="AG200" s="11" t="s">
        <v>71</v>
      </c>
      <c r="AH200" s="159" t="s">
        <v>124</v>
      </c>
    </row>
    <row r="201" spans="2:48" s="12" customFormat="1" ht="16.5" customHeight="1">
      <c r="B201" s="160"/>
      <c r="C201" s="161"/>
      <c r="D201" s="161"/>
      <c r="E201" s="162" t="s">
        <v>5</v>
      </c>
      <c r="F201" s="256" t="s">
        <v>128</v>
      </c>
      <c r="G201" s="257"/>
      <c r="H201" s="257"/>
      <c r="I201" s="257"/>
      <c r="J201" s="161"/>
      <c r="K201" s="163">
        <f>K194+K196+K198+K200</f>
        <v>1633.1490000000001</v>
      </c>
      <c r="L201" s="161"/>
      <c r="M201" s="161"/>
      <c r="N201" s="161"/>
      <c r="O201" s="161"/>
      <c r="P201" s="161"/>
      <c r="Q201" s="161"/>
      <c r="R201" s="164"/>
      <c r="T201" s="165"/>
      <c r="U201" s="161"/>
      <c r="V201" s="161"/>
      <c r="W201" s="161"/>
      <c r="X201" s="161"/>
      <c r="Y201" s="161"/>
      <c r="Z201" s="161"/>
      <c r="AA201" s="166"/>
      <c r="AE201" s="12" t="s">
        <v>127</v>
      </c>
      <c r="AF201" s="12" t="s">
        <v>29</v>
      </c>
      <c r="AG201" s="12" t="s">
        <v>73</v>
      </c>
      <c r="AH201" s="167" t="s">
        <v>124</v>
      </c>
    </row>
    <row r="202" spans="2:48" s="1" customFormat="1" ht="38.25" customHeight="1">
      <c r="B202" s="135"/>
      <c r="C202" s="136" t="s">
        <v>141</v>
      </c>
      <c r="D202" s="136" t="s">
        <v>125</v>
      </c>
      <c r="E202" s="137" t="s">
        <v>165</v>
      </c>
      <c r="F202" s="258" t="s">
        <v>166</v>
      </c>
      <c r="G202" s="258"/>
      <c r="H202" s="258"/>
      <c r="I202" s="258"/>
      <c r="J202" s="138" t="s">
        <v>126</v>
      </c>
      <c r="K202" s="139">
        <f>K201*90</f>
        <v>146983.41</v>
      </c>
      <c r="L202" s="251">
        <v>0</v>
      </c>
      <c r="M202" s="251"/>
      <c r="N202" s="251">
        <f>L202*K202</f>
        <v>0</v>
      </c>
      <c r="O202" s="251"/>
      <c r="P202" s="251"/>
      <c r="Q202" s="251"/>
      <c r="R202" s="140"/>
      <c r="T202" s="141" t="s">
        <v>5</v>
      </c>
      <c r="U202" s="42" t="s">
        <v>37</v>
      </c>
      <c r="V202" s="142">
        <v>0</v>
      </c>
      <c r="W202" s="142">
        <f>V202*K202</f>
        <v>0</v>
      </c>
      <c r="X202" s="142">
        <v>0</v>
      </c>
      <c r="Y202" s="142">
        <f>X202*K202</f>
        <v>0</v>
      </c>
      <c r="Z202" s="142">
        <v>0</v>
      </c>
      <c r="AA202" s="143">
        <f>Z202*K202</f>
        <v>0</v>
      </c>
      <c r="AH202" s="20" t="s">
        <v>124</v>
      </c>
      <c r="AN202" s="144">
        <f>IF(U202="základní",N202,0)</f>
        <v>0</v>
      </c>
      <c r="AO202" s="144">
        <f>IF(U202="snížená",N202,0)</f>
        <v>0</v>
      </c>
      <c r="AP202" s="144">
        <f>IF(U202="zákl. přenesená",N202,0)</f>
        <v>0</v>
      </c>
      <c r="AQ202" s="144">
        <f>IF(U202="sníž. přenesená",N202,0)</f>
        <v>0</v>
      </c>
      <c r="AR202" s="144">
        <f>IF(U202="nulová",N202,0)</f>
        <v>0</v>
      </c>
      <c r="AS202" s="20" t="s">
        <v>73</v>
      </c>
      <c r="AT202" s="144">
        <f>ROUND(L202*K202,2)</f>
        <v>0</v>
      </c>
      <c r="AU202" s="20" t="s">
        <v>127</v>
      </c>
      <c r="AV202" s="20" t="s">
        <v>349</v>
      </c>
    </row>
    <row r="203" spans="2:48" s="11" customFormat="1" ht="16.5" customHeight="1">
      <c r="B203" s="152"/>
      <c r="C203" s="153"/>
      <c r="D203" s="153"/>
      <c r="E203" s="154" t="s">
        <v>5</v>
      </c>
      <c r="F203" s="254" t="s">
        <v>441</v>
      </c>
      <c r="G203" s="255"/>
      <c r="H203" s="255"/>
      <c r="I203" s="255"/>
      <c r="J203" s="153"/>
      <c r="K203" s="155">
        <f>K201*90</f>
        <v>146983.41</v>
      </c>
      <c r="L203" s="153"/>
      <c r="M203" s="153"/>
      <c r="N203" s="153"/>
      <c r="O203" s="153"/>
      <c r="P203" s="153"/>
      <c r="Q203" s="153"/>
      <c r="R203" s="156"/>
      <c r="T203" s="157"/>
      <c r="U203" s="153"/>
      <c r="V203" s="153"/>
      <c r="W203" s="153"/>
      <c r="X203" s="153"/>
      <c r="Y203" s="153"/>
      <c r="Z203" s="153"/>
      <c r="AA203" s="158"/>
      <c r="AE203" s="11" t="s">
        <v>91</v>
      </c>
      <c r="AF203" s="11" t="s">
        <v>29</v>
      </c>
      <c r="AG203" s="11" t="s">
        <v>73</v>
      </c>
      <c r="AH203" s="159" t="s">
        <v>124</v>
      </c>
    </row>
    <row r="204" spans="2:48" s="1" customFormat="1" ht="38.25" customHeight="1">
      <c r="B204" s="135"/>
      <c r="C204" s="136" t="s">
        <v>145</v>
      </c>
      <c r="D204" s="136" t="s">
        <v>125</v>
      </c>
      <c r="E204" s="137" t="s">
        <v>167</v>
      </c>
      <c r="F204" s="258" t="s">
        <v>168</v>
      </c>
      <c r="G204" s="258"/>
      <c r="H204" s="258"/>
      <c r="I204" s="258"/>
      <c r="J204" s="138" t="s">
        <v>126</v>
      </c>
      <c r="K204" s="139">
        <f>K201</f>
        <v>1633.1490000000001</v>
      </c>
      <c r="L204" s="251">
        <v>0</v>
      </c>
      <c r="M204" s="251"/>
      <c r="N204" s="251">
        <f>L204*K204</f>
        <v>0</v>
      </c>
      <c r="O204" s="251"/>
      <c r="P204" s="251"/>
      <c r="Q204" s="251"/>
      <c r="R204" s="140"/>
      <c r="T204" s="141" t="s">
        <v>5</v>
      </c>
      <c r="U204" s="42" t="s">
        <v>37</v>
      </c>
      <c r="V204" s="142">
        <v>0.1</v>
      </c>
      <c r="W204" s="142">
        <f t="shared" ref="W204:W210" si="0">V204*K204</f>
        <v>163.31490000000002</v>
      </c>
      <c r="X204" s="142">
        <v>0</v>
      </c>
      <c r="Y204" s="142">
        <f t="shared" ref="Y204:Y210" si="1">X204*K204</f>
        <v>0</v>
      </c>
      <c r="Z204" s="142">
        <v>0</v>
      </c>
      <c r="AA204" s="143">
        <f t="shared" ref="AA204:AA210" si="2">Z204*K204</f>
        <v>0</v>
      </c>
      <c r="AH204" s="20" t="s">
        <v>124</v>
      </c>
      <c r="AN204" s="144">
        <f t="shared" ref="AN204:AN210" si="3">IF(U204="základní",N204,0)</f>
        <v>0</v>
      </c>
      <c r="AO204" s="144">
        <f t="shared" ref="AO204:AO210" si="4">IF(U204="snížená",N204,0)</f>
        <v>0</v>
      </c>
      <c r="AP204" s="144">
        <f t="shared" ref="AP204:AP210" si="5">IF(U204="zákl. přenesená",N204,0)</f>
        <v>0</v>
      </c>
      <c r="AQ204" s="144">
        <f t="shared" ref="AQ204:AQ210" si="6">IF(U204="sníž. přenesená",N204,0)</f>
        <v>0</v>
      </c>
      <c r="AR204" s="144">
        <f t="shared" ref="AR204:AR210" si="7">IF(U204="nulová",N204,0)</f>
        <v>0</v>
      </c>
      <c r="AS204" s="20" t="s">
        <v>73</v>
      </c>
      <c r="AT204" s="144">
        <f t="shared" ref="AT204:AT210" si="8">ROUND(L204*K204,2)</f>
        <v>0</v>
      </c>
      <c r="AU204" s="20" t="s">
        <v>127</v>
      </c>
      <c r="AV204" s="20" t="s">
        <v>350</v>
      </c>
    </row>
    <row r="205" spans="2:48" s="1" customFormat="1" ht="25.5" customHeight="1">
      <c r="B205" s="135"/>
      <c r="C205" s="136" t="s">
        <v>149</v>
      </c>
      <c r="D205" s="136" t="s">
        <v>125</v>
      </c>
      <c r="E205" s="137" t="s">
        <v>169</v>
      </c>
      <c r="F205" s="258" t="s">
        <v>170</v>
      </c>
      <c r="G205" s="258"/>
      <c r="H205" s="258"/>
      <c r="I205" s="258"/>
      <c r="J205" s="138" t="s">
        <v>126</v>
      </c>
      <c r="K205" s="139">
        <f>K204</f>
        <v>1633.1490000000001</v>
      </c>
      <c r="L205" s="251">
        <v>0</v>
      </c>
      <c r="M205" s="251"/>
      <c r="N205" s="251">
        <f t="shared" ref="N205:N210" si="9">L205*K205</f>
        <v>0</v>
      </c>
      <c r="O205" s="251"/>
      <c r="P205" s="251"/>
      <c r="Q205" s="251"/>
      <c r="R205" s="140"/>
      <c r="T205" s="141" t="s">
        <v>5</v>
      </c>
      <c r="U205" s="42" t="s">
        <v>37</v>
      </c>
      <c r="V205" s="142">
        <v>4.9000000000000002E-2</v>
      </c>
      <c r="W205" s="142">
        <f t="shared" si="0"/>
        <v>80.024301000000008</v>
      </c>
      <c r="X205" s="142">
        <v>0</v>
      </c>
      <c r="Y205" s="142">
        <f t="shared" si="1"/>
        <v>0</v>
      </c>
      <c r="Z205" s="142">
        <v>0</v>
      </c>
      <c r="AA205" s="143">
        <f t="shared" si="2"/>
        <v>0</v>
      </c>
      <c r="AH205" s="20" t="s">
        <v>124</v>
      </c>
      <c r="AN205" s="144">
        <f t="shared" si="3"/>
        <v>0</v>
      </c>
      <c r="AO205" s="144">
        <f t="shared" si="4"/>
        <v>0</v>
      </c>
      <c r="AP205" s="144">
        <f t="shared" si="5"/>
        <v>0</v>
      </c>
      <c r="AQ205" s="144">
        <f t="shared" si="6"/>
        <v>0</v>
      </c>
      <c r="AR205" s="144">
        <f t="shared" si="7"/>
        <v>0</v>
      </c>
      <c r="AS205" s="20" t="s">
        <v>73</v>
      </c>
      <c r="AT205" s="144">
        <f t="shared" si="8"/>
        <v>0</v>
      </c>
      <c r="AU205" s="20" t="s">
        <v>127</v>
      </c>
      <c r="AV205" s="20" t="s">
        <v>351</v>
      </c>
    </row>
    <row r="206" spans="2:48" s="1" customFormat="1" ht="25.5" customHeight="1">
      <c r="B206" s="135"/>
      <c r="C206" s="136" t="s">
        <v>150</v>
      </c>
      <c r="D206" s="136" t="s">
        <v>125</v>
      </c>
      <c r="E206" s="137" t="s">
        <v>172</v>
      </c>
      <c r="F206" s="258" t="s">
        <v>173</v>
      </c>
      <c r="G206" s="258"/>
      <c r="H206" s="258"/>
      <c r="I206" s="258"/>
      <c r="J206" s="138" t="s">
        <v>126</v>
      </c>
      <c r="K206" s="139">
        <f>K202</f>
        <v>146983.41</v>
      </c>
      <c r="L206" s="251">
        <v>0</v>
      </c>
      <c r="M206" s="251"/>
      <c r="N206" s="251">
        <f t="shared" si="9"/>
        <v>0</v>
      </c>
      <c r="O206" s="251"/>
      <c r="P206" s="251"/>
      <c r="Q206" s="251"/>
      <c r="R206" s="140"/>
      <c r="T206" s="141" t="s">
        <v>5</v>
      </c>
      <c r="U206" s="42" t="s">
        <v>37</v>
      </c>
      <c r="V206" s="142">
        <v>0</v>
      </c>
      <c r="W206" s="142">
        <f t="shared" si="0"/>
        <v>0</v>
      </c>
      <c r="X206" s="142">
        <v>0</v>
      </c>
      <c r="Y206" s="142">
        <f t="shared" si="1"/>
        <v>0</v>
      </c>
      <c r="Z206" s="142">
        <v>0</v>
      </c>
      <c r="AA206" s="143">
        <f t="shared" si="2"/>
        <v>0</v>
      </c>
      <c r="AH206" s="20" t="s">
        <v>124</v>
      </c>
      <c r="AN206" s="144">
        <f t="shared" si="3"/>
        <v>0</v>
      </c>
      <c r="AO206" s="144">
        <f t="shared" si="4"/>
        <v>0</v>
      </c>
      <c r="AP206" s="144">
        <f t="shared" si="5"/>
        <v>0</v>
      </c>
      <c r="AQ206" s="144">
        <f t="shared" si="6"/>
        <v>0</v>
      </c>
      <c r="AR206" s="144">
        <f t="shared" si="7"/>
        <v>0</v>
      </c>
      <c r="AS206" s="20" t="s">
        <v>73</v>
      </c>
      <c r="AT206" s="144">
        <f t="shared" si="8"/>
        <v>0</v>
      </c>
      <c r="AU206" s="20" t="s">
        <v>127</v>
      </c>
      <c r="AV206" s="20" t="s">
        <v>352</v>
      </c>
    </row>
    <row r="207" spans="2:48" s="1" customFormat="1" ht="25.5" customHeight="1">
      <c r="B207" s="135"/>
      <c r="C207" s="136" t="s">
        <v>151</v>
      </c>
      <c r="D207" s="136" t="s">
        <v>125</v>
      </c>
      <c r="E207" s="137" t="s">
        <v>175</v>
      </c>
      <c r="F207" s="258" t="s">
        <v>176</v>
      </c>
      <c r="G207" s="258"/>
      <c r="H207" s="258"/>
      <c r="I207" s="258"/>
      <c r="J207" s="138" t="s">
        <v>126</v>
      </c>
      <c r="K207" s="139">
        <f>K201</f>
        <v>1633.1490000000001</v>
      </c>
      <c r="L207" s="251">
        <v>0</v>
      </c>
      <c r="M207" s="251"/>
      <c r="N207" s="251">
        <f t="shared" si="9"/>
        <v>0</v>
      </c>
      <c r="O207" s="251"/>
      <c r="P207" s="251"/>
      <c r="Q207" s="251"/>
      <c r="R207" s="140"/>
      <c r="T207" s="141" t="s">
        <v>5</v>
      </c>
      <c r="U207" s="42" t="s">
        <v>37</v>
      </c>
      <c r="V207" s="142">
        <v>3.3000000000000002E-2</v>
      </c>
      <c r="W207" s="142">
        <f t="shared" si="0"/>
        <v>53.893917000000009</v>
      </c>
      <c r="X207" s="142">
        <v>0</v>
      </c>
      <c r="Y207" s="142">
        <f t="shared" si="1"/>
        <v>0</v>
      </c>
      <c r="Z207" s="142">
        <v>0</v>
      </c>
      <c r="AA207" s="143">
        <f t="shared" si="2"/>
        <v>0</v>
      </c>
      <c r="AH207" s="20" t="s">
        <v>124</v>
      </c>
      <c r="AN207" s="144">
        <f t="shared" si="3"/>
        <v>0</v>
      </c>
      <c r="AO207" s="144">
        <f t="shared" si="4"/>
        <v>0</v>
      </c>
      <c r="AP207" s="144">
        <f t="shared" si="5"/>
        <v>0</v>
      </c>
      <c r="AQ207" s="144">
        <f t="shared" si="6"/>
        <v>0</v>
      </c>
      <c r="AR207" s="144">
        <f t="shared" si="7"/>
        <v>0</v>
      </c>
      <c r="AS207" s="20" t="s">
        <v>73</v>
      </c>
      <c r="AT207" s="144">
        <f t="shared" si="8"/>
        <v>0</v>
      </c>
      <c r="AU207" s="20" t="s">
        <v>127</v>
      </c>
      <c r="AV207" s="20" t="s">
        <v>353</v>
      </c>
    </row>
    <row r="208" spans="2:48" s="1" customFormat="1" ht="16.5" customHeight="1">
      <c r="B208" s="135"/>
      <c r="C208" s="136" t="s">
        <v>211</v>
      </c>
      <c r="D208" s="136" t="s">
        <v>125</v>
      </c>
      <c r="E208" s="137" t="s">
        <v>179</v>
      </c>
      <c r="F208" s="258" t="s">
        <v>180</v>
      </c>
      <c r="G208" s="258"/>
      <c r="H208" s="258"/>
      <c r="I208" s="258"/>
      <c r="J208" s="138" t="s">
        <v>181</v>
      </c>
      <c r="K208" s="139">
        <v>1</v>
      </c>
      <c r="L208" s="251">
        <v>0</v>
      </c>
      <c r="M208" s="251"/>
      <c r="N208" s="251">
        <f t="shared" si="9"/>
        <v>0</v>
      </c>
      <c r="O208" s="251"/>
      <c r="P208" s="251"/>
      <c r="Q208" s="251"/>
      <c r="R208" s="140"/>
      <c r="T208" s="141" t="s">
        <v>5</v>
      </c>
      <c r="U208" s="42" t="s">
        <v>37</v>
      </c>
      <c r="V208" s="142">
        <v>0.15</v>
      </c>
      <c r="W208" s="142">
        <f t="shared" si="0"/>
        <v>0.15</v>
      </c>
      <c r="X208" s="142">
        <v>0</v>
      </c>
      <c r="Y208" s="142">
        <f t="shared" si="1"/>
        <v>0</v>
      </c>
      <c r="Z208" s="142">
        <v>1E-3</v>
      </c>
      <c r="AA208" s="143">
        <f t="shared" si="2"/>
        <v>1E-3</v>
      </c>
      <c r="AH208" s="20" t="s">
        <v>124</v>
      </c>
      <c r="AN208" s="144">
        <f t="shared" si="3"/>
        <v>0</v>
      </c>
      <c r="AO208" s="144">
        <f t="shared" si="4"/>
        <v>0</v>
      </c>
      <c r="AP208" s="144">
        <f t="shared" si="5"/>
        <v>0</v>
      </c>
      <c r="AQ208" s="144">
        <f t="shared" si="6"/>
        <v>0</v>
      </c>
      <c r="AR208" s="144">
        <f t="shared" si="7"/>
        <v>0</v>
      </c>
      <c r="AS208" s="20" t="s">
        <v>73</v>
      </c>
      <c r="AT208" s="144">
        <f t="shared" si="8"/>
        <v>0</v>
      </c>
      <c r="AU208" s="20" t="s">
        <v>127</v>
      </c>
      <c r="AV208" s="20" t="s">
        <v>354</v>
      </c>
    </row>
    <row r="209" spans="2:48" s="1" customFormat="1" ht="25.5" customHeight="1">
      <c r="B209" s="135"/>
      <c r="C209" s="136" t="s">
        <v>212</v>
      </c>
      <c r="D209" s="136" t="s">
        <v>125</v>
      </c>
      <c r="E209" s="137" t="s">
        <v>182</v>
      </c>
      <c r="F209" s="258" t="s">
        <v>183</v>
      </c>
      <c r="G209" s="258"/>
      <c r="H209" s="258"/>
      <c r="I209" s="258"/>
      <c r="J209" s="138" t="s">
        <v>181</v>
      </c>
      <c r="K209" s="139">
        <v>1</v>
      </c>
      <c r="L209" s="251">
        <v>0</v>
      </c>
      <c r="M209" s="251"/>
      <c r="N209" s="251">
        <f t="shared" si="9"/>
        <v>0</v>
      </c>
      <c r="O209" s="251"/>
      <c r="P209" s="251"/>
      <c r="Q209" s="251"/>
      <c r="R209" s="140"/>
      <c r="T209" s="141" t="s">
        <v>5</v>
      </c>
      <c r="U209" s="42" t="s">
        <v>37</v>
      </c>
      <c r="V209" s="142">
        <v>0.18099999999999999</v>
      </c>
      <c r="W209" s="142">
        <f t="shared" si="0"/>
        <v>0.18099999999999999</v>
      </c>
      <c r="X209" s="142">
        <v>0</v>
      </c>
      <c r="Y209" s="142">
        <f t="shared" si="1"/>
        <v>0</v>
      </c>
      <c r="Z209" s="142">
        <v>1E-3</v>
      </c>
      <c r="AA209" s="143">
        <f t="shared" si="2"/>
        <v>1E-3</v>
      </c>
      <c r="AH209" s="20" t="s">
        <v>124</v>
      </c>
      <c r="AN209" s="144">
        <f t="shared" si="3"/>
        <v>0</v>
      </c>
      <c r="AO209" s="144">
        <f t="shared" si="4"/>
        <v>0</v>
      </c>
      <c r="AP209" s="144">
        <f t="shared" si="5"/>
        <v>0</v>
      </c>
      <c r="AQ209" s="144">
        <f t="shared" si="6"/>
        <v>0</v>
      </c>
      <c r="AR209" s="144">
        <f t="shared" si="7"/>
        <v>0</v>
      </c>
      <c r="AS209" s="20" t="s">
        <v>73</v>
      </c>
      <c r="AT209" s="144">
        <f t="shared" si="8"/>
        <v>0</v>
      </c>
      <c r="AU209" s="20" t="s">
        <v>127</v>
      </c>
      <c r="AV209" s="20" t="s">
        <v>355</v>
      </c>
    </row>
    <row r="210" spans="2:48" s="1" customFormat="1" ht="38.25" customHeight="1">
      <c r="B210" s="135"/>
      <c r="C210" s="136" t="s">
        <v>155</v>
      </c>
      <c r="D210" s="136" t="s">
        <v>125</v>
      </c>
      <c r="E210" s="137" t="s">
        <v>188</v>
      </c>
      <c r="F210" s="258" t="s">
        <v>189</v>
      </c>
      <c r="G210" s="258"/>
      <c r="H210" s="258"/>
      <c r="I210" s="258"/>
      <c r="J210" s="138" t="s">
        <v>126</v>
      </c>
      <c r="K210" s="139">
        <f>K152</f>
        <v>1398.2914999999996</v>
      </c>
      <c r="L210" s="251">
        <v>0</v>
      </c>
      <c r="M210" s="251"/>
      <c r="N210" s="251">
        <f t="shared" si="9"/>
        <v>0</v>
      </c>
      <c r="O210" s="251"/>
      <c r="P210" s="251"/>
      <c r="Q210" s="251"/>
      <c r="R210" s="140"/>
      <c r="T210" s="141" t="s">
        <v>5</v>
      </c>
      <c r="U210" s="42" t="s">
        <v>37</v>
      </c>
      <c r="V210" s="142">
        <v>0.35199999999999998</v>
      </c>
      <c r="W210" s="142">
        <f t="shared" si="0"/>
        <v>492.19860799999981</v>
      </c>
      <c r="X210" s="142">
        <v>0</v>
      </c>
      <c r="Y210" s="142">
        <f t="shared" si="1"/>
        <v>0</v>
      </c>
      <c r="Z210" s="142">
        <v>7.1999999999999995E-2</v>
      </c>
      <c r="AA210" s="143">
        <f t="shared" si="2"/>
        <v>100.67698799999997</v>
      </c>
      <c r="AH210" s="20" t="s">
        <v>124</v>
      </c>
      <c r="AN210" s="144">
        <f t="shared" si="3"/>
        <v>0</v>
      </c>
      <c r="AO210" s="144">
        <f t="shared" si="4"/>
        <v>0</v>
      </c>
      <c r="AP210" s="144">
        <f t="shared" si="5"/>
        <v>0</v>
      </c>
      <c r="AQ210" s="144">
        <f t="shared" si="6"/>
        <v>0</v>
      </c>
      <c r="AR210" s="144">
        <f t="shared" si="7"/>
        <v>0</v>
      </c>
      <c r="AS210" s="20" t="s">
        <v>73</v>
      </c>
      <c r="AT210" s="144">
        <f t="shared" si="8"/>
        <v>0</v>
      </c>
      <c r="AU210" s="20" t="s">
        <v>127</v>
      </c>
      <c r="AV210" s="20" t="s">
        <v>356</v>
      </c>
    </row>
    <row r="211" spans="2:48" s="10" customFormat="1" ht="16.5" customHeight="1">
      <c r="B211" s="145"/>
      <c r="C211" s="146"/>
      <c r="D211" s="146"/>
      <c r="E211" s="147" t="s">
        <v>5</v>
      </c>
      <c r="F211" s="261" t="s">
        <v>158</v>
      </c>
      <c r="G211" s="262"/>
      <c r="H211" s="262"/>
      <c r="I211" s="262"/>
      <c r="J211" s="146"/>
      <c r="K211" s="147" t="s">
        <v>5</v>
      </c>
      <c r="L211" s="146"/>
      <c r="M211" s="146"/>
      <c r="N211" s="146"/>
      <c r="O211" s="146"/>
      <c r="P211" s="146"/>
      <c r="Q211" s="146"/>
      <c r="R211" s="148"/>
      <c r="T211" s="149"/>
      <c r="U211" s="146"/>
      <c r="V211" s="146"/>
      <c r="W211" s="146"/>
      <c r="X211" s="146"/>
      <c r="Y211" s="146"/>
      <c r="Z211" s="146"/>
      <c r="AA211" s="150"/>
      <c r="AE211" s="10" t="s">
        <v>73</v>
      </c>
      <c r="AF211" s="10" t="s">
        <v>29</v>
      </c>
      <c r="AG211" s="10" t="s">
        <v>71</v>
      </c>
      <c r="AH211" s="151" t="s">
        <v>124</v>
      </c>
    </row>
    <row r="212" spans="2:48" s="10" customFormat="1" ht="16.5" customHeight="1">
      <c r="B212" s="145"/>
      <c r="C212" s="146"/>
      <c r="D212" s="146"/>
      <c r="E212" s="147" t="s">
        <v>5</v>
      </c>
      <c r="F212" s="259" t="s">
        <v>332</v>
      </c>
      <c r="G212" s="260"/>
      <c r="H212" s="260"/>
      <c r="I212" s="260"/>
      <c r="J212" s="146"/>
      <c r="K212" s="147" t="s">
        <v>5</v>
      </c>
      <c r="L212" s="146"/>
      <c r="M212" s="146"/>
      <c r="N212" s="146"/>
      <c r="O212" s="146"/>
      <c r="P212" s="146"/>
      <c r="Q212" s="146"/>
      <c r="R212" s="148"/>
      <c r="T212" s="149"/>
      <c r="U212" s="146"/>
      <c r="V212" s="146"/>
      <c r="W212" s="146"/>
      <c r="X212" s="146"/>
      <c r="Y212" s="146"/>
      <c r="Z212" s="146"/>
      <c r="AA212" s="150"/>
      <c r="AE212" s="10" t="s">
        <v>73</v>
      </c>
      <c r="AF212" s="10" t="s">
        <v>29</v>
      </c>
      <c r="AG212" s="10" t="s">
        <v>71</v>
      </c>
      <c r="AH212" s="151" t="s">
        <v>124</v>
      </c>
    </row>
    <row r="213" spans="2:48" s="11" customFormat="1" ht="25.5" customHeight="1">
      <c r="B213" s="152"/>
      <c r="C213" s="153"/>
      <c r="D213" s="153"/>
      <c r="E213" s="154" t="s">
        <v>5</v>
      </c>
      <c r="F213" s="252" t="s">
        <v>429</v>
      </c>
      <c r="G213" s="253"/>
      <c r="H213" s="253"/>
      <c r="I213" s="253"/>
      <c r="J213" s="153"/>
      <c r="K213" s="155">
        <f>18.55*11.2+2.1*2*10.7+10-4*1.35*2.45-1.4*2.4-1.95*2.45</f>
        <v>241.33249999999998</v>
      </c>
      <c r="L213" s="153"/>
      <c r="M213" s="153"/>
      <c r="N213" s="153"/>
      <c r="O213" s="153"/>
      <c r="P213" s="153"/>
      <c r="Q213" s="153"/>
      <c r="R213" s="156"/>
      <c r="T213" s="157"/>
      <c r="U213" s="153"/>
      <c r="V213" s="153"/>
      <c r="W213" s="153"/>
      <c r="X213" s="153"/>
      <c r="Y213" s="153"/>
      <c r="Z213" s="153"/>
      <c r="AA213" s="158"/>
      <c r="AE213" s="11" t="s">
        <v>91</v>
      </c>
      <c r="AF213" s="11" t="s">
        <v>29</v>
      </c>
      <c r="AG213" s="11" t="s">
        <v>71</v>
      </c>
      <c r="AH213" s="159" t="s">
        <v>124</v>
      </c>
    </row>
    <row r="214" spans="2:48" s="10" customFormat="1" ht="16.5" customHeight="1">
      <c r="B214" s="145"/>
      <c r="C214" s="146"/>
      <c r="D214" s="146"/>
      <c r="E214" s="147" t="s">
        <v>5</v>
      </c>
      <c r="F214" s="259" t="s">
        <v>333</v>
      </c>
      <c r="G214" s="260"/>
      <c r="H214" s="260"/>
      <c r="I214" s="260"/>
      <c r="J214" s="146"/>
      <c r="K214" s="147" t="s">
        <v>5</v>
      </c>
      <c r="L214" s="146"/>
      <c r="M214" s="146"/>
      <c r="N214" s="146"/>
      <c r="O214" s="146"/>
      <c r="P214" s="146"/>
      <c r="Q214" s="146"/>
      <c r="R214" s="148"/>
      <c r="T214" s="149"/>
      <c r="U214" s="146"/>
      <c r="V214" s="146"/>
      <c r="W214" s="146"/>
      <c r="X214" s="146"/>
      <c r="Y214" s="146"/>
      <c r="Z214" s="146"/>
      <c r="AA214" s="150"/>
      <c r="AE214" s="10" t="s">
        <v>73</v>
      </c>
      <c r="AF214" s="10" t="s">
        <v>29</v>
      </c>
      <c r="AG214" s="10" t="s">
        <v>71</v>
      </c>
      <c r="AH214" s="151" t="s">
        <v>124</v>
      </c>
    </row>
    <row r="215" spans="2:48" s="11" customFormat="1" ht="51" customHeight="1">
      <c r="B215" s="152"/>
      <c r="C215" s="153"/>
      <c r="D215" s="153"/>
      <c r="E215" s="154" t="s">
        <v>5</v>
      </c>
      <c r="F215" s="252" t="s">
        <v>436</v>
      </c>
      <c r="G215" s="253"/>
      <c r="H215" s="253"/>
      <c r="I215" s="253"/>
      <c r="J215" s="153"/>
      <c r="K215" s="155">
        <f>5*5.2+3.82*10.7+8.7*4.4+3.8*10.7+3.9*10.7+4.18*10.7+4.91*10.7+7.3*4.5-3*1.35*2.2-2*1.15*2.2-1.55*2.45-1.35*2.5-3*1.35*2.45-2*1.15*2.2-1.3*2.45</f>
        <v>278.34699999999992</v>
      </c>
      <c r="L215" s="153"/>
      <c r="M215" s="153"/>
      <c r="N215" s="153"/>
      <c r="O215" s="153"/>
      <c r="P215" s="153"/>
      <c r="Q215" s="153"/>
      <c r="R215" s="156"/>
      <c r="T215" s="157"/>
      <c r="U215" s="153"/>
      <c r="V215" s="153"/>
      <c r="W215" s="153"/>
      <c r="X215" s="153"/>
      <c r="Y215" s="153"/>
      <c r="Z215" s="153"/>
      <c r="AA215" s="158"/>
      <c r="AE215" s="11" t="s">
        <v>91</v>
      </c>
      <c r="AF215" s="11" t="s">
        <v>29</v>
      </c>
      <c r="AG215" s="11" t="s">
        <v>71</v>
      </c>
      <c r="AH215" s="159" t="s">
        <v>124</v>
      </c>
    </row>
    <row r="216" spans="2:48" s="10" customFormat="1" ht="16.5" customHeight="1">
      <c r="B216" s="145"/>
      <c r="C216" s="146"/>
      <c r="D216" s="146"/>
      <c r="E216" s="147" t="s">
        <v>5</v>
      </c>
      <c r="F216" s="259" t="s">
        <v>334</v>
      </c>
      <c r="G216" s="260"/>
      <c r="H216" s="260"/>
      <c r="I216" s="260"/>
      <c r="J216" s="146"/>
      <c r="K216" s="147" t="s">
        <v>5</v>
      </c>
      <c r="L216" s="146"/>
      <c r="M216" s="146"/>
      <c r="N216" s="146"/>
      <c r="O216" s="146"/>
      <c r="P216" s="146"/>
      <c r="Q216" s="146"/>
      <c r="R216" s="148"/>
      <c r="T216" s="149"/>
      <c r="U216" s="146"/>
      <c r="V216" s="146"/>
      <c r="W216" s="146"/>
      <c r="X216" s="146"/>
      <c r="Y216" s="146"/>
      <c r="Z216" s="146"/>
      <c r="AA216" s="150"/>
      <c r="AE216" s="10" t="s">
        <v>73</v>
      </c>
      <c r="AF216" s="10" t="s">
        <v>29</v>
      </c>
      <c r="AG216" s="10" t="s">
        <v>71</v>
      </c>
      <c r="AH216" s="151" t="s">
        <v>124</v>
      </c>
    </row>
    <row r="217" spans="2:48" s="11" customFormat="1" ht="51" customHeight="1">
      <c r="B217" s="152"/>
      <c r="C217" s="153"/>
      <c r="D217" s="153"/>
      <c r="E217" s="154" t="s">
        <v>5</v>
      </c>
      <c r="F217" s="252" t="s">
        <v>431</v>
      </c>
      <c r="G217" s="253"/>
      <c r="H217" s="253"/>
      <c r="I217" s="253"/>
      <c r="J217" s="153"/>
      <c r="K217" s="155">
        <f>11.33*10.7+7.52*10.7+15.65*10.7+12.36*10.7-6*5+13.55*10.7-5*5.8-1.38*3.5-3*1.35*2.45-13*1.15*2.45-2*1.05*2.45-1.5*2.9-2*1.35*2.45-2*1.05*2.45</f>
        <v>514.75199999999984</v>
      </c>
      <c r="L217" s="153"/>
      <c r="M217" s="153"/>
      <c r="N217" s="153"/>
      <c r="O217" s="153"/>
      <c r="P217" s="153"/>
      <c r="Q217" s="153"/>
      <c r="R217" s="156"/>
      <c r="T217" s="157"/>
      <c r="U217" s="153"/>
      <c r="V217" s="153"/>
      <c r="W217" s="153"/>
      <c r="X217" s="153"/>
      <c r="Y217" s="153"/>
      <c r="Z217" s="153"/>
      <c r="AA217" s="158"/>
      <c r="AE217" s="11" t="s">
        <v>91</v>
      </c>
      <c r="AF217" s="11" t="s">
        <v>29</v>
      </c>
      <c r="AG217" s="11" t="s">
        <v>71</v>
      </c>
      <c r="AH217" s="159" t="s">
        <v>124</v>
      </c>
    </row>
    <row r="218" spans="2:48" s="10" customFormat="1" ht="16.5" customHeight="1">
      <c r="B218" s="145"/>
      <c r="C218" s="146"/>
      <c r="D218" s="146"/>
      <c r="E218" s="147" t="s">
        <v>5</v>
      </c>
      <c r="F218" s="259" t="s">
        <v>335</v>
      </c>
      <c r="G218" s="260"/>
      <c r="H218" s="260"/>
      <c r="I218" s="260"/>
      <c r="J218" s="146"/>
      <c r="K218" s="147" t="s">
        <v>5</v>
      </c>
      <c r="L218" s="146"/>
      <c r="M218" s="146"/>
      <c r="N218" s="146"/>
      <c r="O218" s="146"/>
      <c r="P218" s="146"/>
      <c r="Q218" s="146"/>
      <c r="R218" s="148"/>
      <c r="T218" s="149"/>
      <c r="U218" s="146"/>
      <c r="V218" s="146"/>
      <c r="W218" s="146"/>
      <c r="X218" s="146"/>
      <c r="Y218" s="146"/>
      <c r="Z218" s="146"/>
      <c r="AA218" s="150"/>
      <c r="AE218" s="10" t="s">
        <v>73</v>
      </c>
      <c r="AF218" s="10" t="s">
        <v>29</v>
      </c>
      <c r="AG218" s="10" t="s">
        <v>71</v>
      </c>
      <c r="AH218" s="151" t="s">
        <v>124</v>
      </c>
    </row>
    <row r="219" spans="2:48" s="11" customFormat="1" ht="25.5" customHeight="1">
      <c r="B219" s="152"/>
      <c r="C219" s="153"/>
      <c r="D219" s="153"/>
      <c r="E219" s="154" t="s">
        <v>5</v>
      </c>
      <c r="F219" s="252" t="s">
        <v>433</v>
      </c>
      <c r="G219" s="253"/>
      <c r="H219" s="253"/>
      <c r="I219" s="253"/>
      <c r="J219" s="153"/>
      <c r="K219" s="155">
        <f>40.2*10.7+2*10.7-11*1.55*2.45-1.55*3.75-11*1.35*2.45-1.35*2.75</f>
        <v>363.85999999999996</v>
      </c>
      <c r="L219" s="153"/>
      <c r="M219" s="153"/>
      <c r="N219" s="153"/>
      <c r="O219" s="153"/>
      <c r="P219" s="153"/>
      <c r="Q219" s="153"/>
      <c r="R219" s="156"/>
      <c r="T219" s="157"/>
      <c r="U219" s="153"/>
      <c r="V219" s="153"/>
      <c r="W219" s="153"/>
      <c r="X219" s="153"/>
      <c r="Y219" s="153"/>
      <c r="Z219" s="153"/>
      <c r="AA219" s="158"/>
      <c r="AE219" s="11" t="s">
        <v>91</v>
      </c>
      <c r="AF219" s="11" t="s">
        <v>29</v>
      </c>
      <c r="AG219" s="11" t="s">
        <v>71</v>
      </c>
      <c r="AH219" s="159" t="s">
        <v>124</v>
      </c>
    </row>
    <row r="220" spans="2:48" s="12" customFormat="1" ht="16.5" customHeight="1">
      <c r="B220" s="160"/>
      <c r="C220" s="161"/>
      <c r="D220" s="161"/>
      <c r="E220" s="162" t="s">
        <v>5</v>
      </c>
      <c r="F220" s="256" t="s">
        <v>128</v>
      </c>
      <c r="G220" s="257"/>
      <c r="H220" s="257"/>
      <c r="I220" s="257"/>
      <c r="J220" s="161"/>
      <c r="K220" s="163">
        <f>K219+K217+K215+K213</f>
        <v>1398.2914999999998</v>
      </c>
      <c r="L220" s="161"/>
      <c r="M220" s="161"/>
      <c r="N220" s="161"/>
      <c r="O220" s="161"/>
      <c r="P220" s="161"/>
      <c r="Q220" s="161"/>
      <c r="R220" s="164"/>
      <c r="T220" s="165"/>
      <c r="U220" s="161"/>
      <c r="V220" s="161"/>
      <c r="W220" s="161"/>
      <c r="X220" s="161"/>
      <c r="Y220" s="161"/>
      <c r="Z220" s="161"/>
      <c r="AA220" s="166"/>
      <c r="AE220" s="12" t="s">
        <v>127</v>
      </c>
      <c r="AF220" s="12" t="s">
        <v>29</v>
      </c>
      <c r="AG220" s="12" t="s">
        <v>73</v>
      </c>
      <c r="AH220" s="167" t="s">
        <v>124</v>
      </c>
    </row>
    <row r="221" spans="2:48" s="9" customFormat="1" ht="29.85" customHeight="1">
      <c r="B221" s="125"/>
      <c r="C221" s="126"/>
      <c r="D221" s="134" t="s">
        <v>103</v>
      </c>
      <c r="E221" s="134"/>
      <c r="F221" s="134"/>
      <c r="G221" s="134"/>
      <c r="H221" s="134"/>
      <c r="I221" s="134"/>
      <c r="J221" s="134"/>
      <c r="K221" s="134"/>
      <c r="L221" s="134"/>
      <c r="M221" s="134"/>
      <c r="N221" s="263">
        <f>N222+N223+N224+N226</f>
        <v>0</v>
      </c>
      <c r="O221" s="264"/>
      <c r="P221" s="264"/>
      <c r="Q221" s="264"/>
      <c r="R221" s="128"/>
      <c r="T221" s="129"/>
      <c r="U221" s="126"/>
      <c r="V221" s="126"/>
      <c r="W221" s="130">
        <f>SUM(W222:W226)</f>
        <v>205.86533</v>
      </c>
      <c r="X221" s="126"/>
      <c r="Y221" s="130">
        <f>SUM(Y222:Y226)</f>
        <v>0</v>
      </c>
      <c r="Z221" s="126"/>
      <c r="AA221" s="131">
        <f>SUM(AA222:AA226)</f>
        <v>0</v>
      </c>
      <c r="AH221" s="132" t="s">
        <v>124</v>
      </c>
      <c r="AT221" s="133">
        <f>SUM(AT222:AT226)</f>
        <v>0</v>
      </c>
    </row>
    <row r="222" spans="2:48" s="1" customFormat="1" ht="38.25" customHeight="1">
      <c r="B222" s="135"/>
      <c r="C222" s="136" t="s">
        <v>159</v>
      </c>
      <c r="D222" s="136" t="s">
        <v>125</v>
      </c>
      <c r="E222" s="137" t="s">
        <v>193</v>
      </c>
      <c r="F222" s="258" t="s">
        <v>194</v>
      </c>
      <c r="G222" s="258"/>
      <c r="H222" s="258"/>
      <c r="I222" s="258"/>
      <c r="J222" s="138" t="s">
        <v>195</v>
      </c>
      <c r="K222" s="139">
        <v>122.83</v>
      </c>
      <c r="L222" s="251">
        <v>0</v>
      </c>
      <c r="M222" s="251"/>
      <c r="N222" s="251">
        <f>L222*K222</f>
        <v>0</v>
      </c>
      <c r="O222" s="251"/>
      <c r="P222" s="251"/>
      <c r="Q222" s="251"/>
      <c r="R222" s="140"/>
      <c r="T222" s="141" t="s">
        <v>5</v>
      </c>
      <c r="U222" s="42" t="s">
        <v>37</v>
      </c>
      <c r="V222" s="142">
        <v>1.47</v>
      </c>
      <c r="W222" s="142">
        <f>V222*K222</f>
        <v>180.56010000000001</v>
      </c>
      <c r="X222" s="142">
        <v>0</v>
      </c>
      <c r="Y222" s="142">
        <f>X222*K222</f>
        <v>0</v>
      </c>
      <c r="Z222" s="142">
        <v>0</v>
      </c>
      <c r="AA222" s="143">
        <f>Z222*K222</f>
        <v>0</v>
      </c>
      <c r="AH222" s="20" t="s">
        <v>124</v>
      </c>
      <c r="AN222" s="144">
        <f>IF(U222="základní",N222,0)</f>
        <v>0</v>
      </c>
      <c r="AO222" s="144">
        <f>IF(U222="snížená",N222,0)</f>
        <v>0</v>
      </c>
      <c r="AP222" s="144">
        <f>IF(U222="zákl. přenesená",N222,0)</f>
        <v>0</v>
      </c>
      <c r="AQ222" s="144">
        <f>IF(U222="sníž. přenesená",N222,0)</f>
        <v>0</v>
      </c>
      <c r="AR222" s="144">
        <f>IF(U222="nulová",N222,0)</f>
        <v>0</v>
      </c>
      <c r="AS222" s="20" t="s">
        <v>73</v>
      </c>
      <c r="AT222" s="144">
        <f>ROUND(L222*K222,2)</f>
        <v>0</v>
      </c>
      <c r="AU222" s="20" t="s">
        <v>127</v>
      </c>
      <c r="AV222" s="20" t="s">
        <v>357</v>
      </c>
    </row>
    <row r="223" spans="2:48" s="1" customFormat="1" ht="38.25" customHeight="1">
      <c r="B223" s="135"/>
      <c r="C223" s="136" t="s">
        <v>160</v>
      </c>
      <c r="D223" s="136" t="s">
        <v>125</v>
      </c>
      <c r="E223" s="137" t="s">
        <v>197</v>
      </c>
      <c r="F223" s="258" t="s">
        <v>198</v>
      </c>
      <c r="G223" s="258"/>
      <c r="H223" s="258"/>
      <c r="I223" s="258"/>
      <c r="J223" s="138" t="s">
        <v>195</v>
      </c>
      <c r="K223" s="139">
        <v>122.83</v>
      </c>
      <c r="L223" s="251">
        <v>0</v>
      </c>
      <c r="M223" s="251"/>
      <c r="N223" s="251">
        <f>L223*K223</f>
        <v>0</v>
      </c>
      <c r="O223" s="251"/>
      <c r="P223" s="251"/>
      <c r="Q223" s="251"/>
      <c r="R223" s="140"/>
      <c r="T223" s="141" t="s">
        <v>5</v>
      </c>
      <c r="U223" s="42" t="s">
        <v>37</v>
      </c>
      <c r="V223" s="142">
        <v>0.125</v>
      </c>
      <c r="W223" s="142">
        <f>V223*K223</f>
        <v>15.35375</v>
      </c>
      <c r="X223" s="142">
        <v>0</v>
      </c>
      <c r="Y223" s="142">
        <f>X223*K223</f>
        <v>0</v>
      </c>
      <c r="Z223" s="142">
        <v>0</v>
      </c>
      <c r="AA223" s="143">
        <f>Z223*K223</f>
        <v>0</v>
      </c>
      <c r="AH223" s="20" t="s">
        <v>124</v>
      </c>
      <c r="AN223" s="144">
        <f>IF(U223="základní",N223,0)</f>
        <v>0</v>
      </c>
      <c r="AO223" s="144">
        <f>IF(U223="snížená",N223,0)</f>
        <v>0</v>
      </c>
      <c r="AP223" s="144">
        <f>IF(U223="zákl. přenesená",N223,0)</f>
        <v>0</v>
      </c>
      <c r="AQ223" s="144">
        <f>IF(U223="sníž. přenesená",N223,0)</f>
        <v>0</v>
      </c>
      <c r="AR223" s="144">
        <f>IF(U223="nulová",N223,0)</f>
        <v>0</v>
      </c>
      <c r="AS223" s="20" t="s">
        <v>73</v>
      </c>
      <c r="AT223" s="144">
        <f>ROUND(L223*K223,2)</f>
        <v>0</v>
      </c>
      <c r="AU223" s="20" t="s">
        <v>127</v>
      </c>
      <c r="AV223" s="20" t="s">
        <v>358</v>
      </c>
    </row>
    <row r="224" spans="2:48" s="1" customFormat="1" ht="25.5" customHeight="1">
      <c r="B224" s="135"/>
      <c r="C224" s="136" t="s">
        <v>164</v>
      </c>
      <c r="D224" s="136" t="s">
        <v>125</v>
      </c>
      <c r="E224" s="137" t="s">
        <v>200</v>
      </c>
      <c r="F224" s="258" t="s">
        <v>201</v>
      </c>
      <c r="G224" s="258"/>
      <c r="H224" s="258"/>
      <c r="I224" s="258"/>
      <c r="J224" s="138" t="s">
        <v>195</v>
      </c>
      <c r="K224" s="139">
        <v>1658.58</v>
      </c>
      <c r="L224" s="251">
        <v>0</v>
      </c>
      <c r="M224" s="251"/>
      <c r="N224" s="251">
        <f>L224*K224</f>
        <v>0</v>
      </c>
      <c r="O224" s="251"/>
      <c r="P224" s="251"/>
      <c r="Q224" s="251"/>
      <c r="R224" s="140"/>
      <c r="T224" s="141" t="s">
        <v>5</v>
      </c>
      <c r="U224" s="42" t="s">
        <v>37</v>
      </c>
      <c r="V224" s="142">
        <v>6.0000000000000001E-3</v>
      </c>
      <c r="W224" s="142">
        <f>V224*K224</f>
        <v>9.9514800000000001</v>
      </c>
      <c r="X224" s="142">
        <v>0</v>
      </c>
      <c r="Y224" s="142">
        <f>X224*K224</f>
        <v>0</v>
      </c>
      <c r="Z224" s="142">
        <v>0</v>
      </c>
      <c r="AA224" s="143">
        <f>Z224*K224</f>
        <v>0</v>
      </c>
      <c r="AH224" s="20" t="s">
        <v>124</v>
      </c>
      <c r="AN224" s="144">
        <f>IF(U224="základní",N224,0)</f>
        <v>0</v>
      </c>
      <c r="AO224" s="144">
        <f>IF(U224="snížená",N224,0)</f>
        <v>0</v>
      </c>
      <c r="AP224" s="144">
        <f>IF(U224="zákl. přenesená",N224,0)</f>
        <v>0</v>
      </c>
      <c r="AQ224" s="144">
        <f>IF(U224="sníž. přenesená",N224,0)</f>
        <v>0</v>
      </c>
      <c r="AR224" s="144">
        <f>IF(U224="nulová",N224,0)</f>
        <v>0</v>
      </c>
      <c r="AS224" s="20" t="s">
        <v>73</v>
      </c>
      <c r="AT224" s="144">
        <f>ROUND(L224*K224,2)</f>
        <v>0</v>
      </c>
      <c r="AU224" s="20" t="s">
        <v>127</v>
      </c>
      <c r="AV224" s="20" t="s">
        <v>359</v>
      </c>
    </row>
    <row r="225" spans="2:48" s="11" customFormat="1" ht="16.5" customHeight="1">
      <c r="B225" s="152"/>
      <c r="C225" s="153"/>
      <c r="D225" s="153"/>
      <c r="E225" s="154" t="s">
        <v>5</v>
      </c>
      <c r="F225" s="254" t="s">
        <v>202</v>
      </c>
      <c r="G225" s="255"/>
      <c r="H225" s="255"/>
      <c r="I225" s="255"/>
      <c r="J225" s="153"/>
      <c r="K225" s="155">
        <v>1354.12</v>
      </c>
      <c r="L225" s="153"/>
      <c r="M225" s="153"/>
      <c r="N225" s="153"/>
      <c r="O225" s="153"/>
      <c r="P225" s="153"/>
      <c r="Q225" s="153"/>
      <c r="R225" s="156"/>
      <c r="T225" s="157"/>
      <c r="U225" s="153"/>
      <c r="V225" s="153"/>
      <c r="W225" s="153"/>
      <c r="X225" s="153"/>
      <c r="Y225" s="153"/>
      <c r="Z225" s="153"/>
      <c r="AA225" s="158"/>
      <c r="AE225" s="11" t="s">
        <v>91</v>
      </c>
      <c r="AF225" s="11" t="s">
        <v>29</v>
      </c>
      <c r="AG225" s="11" t="s">
        <v>73</v>
      </c>
      <c r="AH225" s="159" t="s">
        <v>124</v>
      </c>
    </row>
    <row r="226" spans="2:48" s="1" customFormat="1" ht="38.25" customHeight="1">
      <c r="B226" s="135"/>
      <c r="C226" s="136" t="s">
        <v>9</v>
      </c>
      <c r="D226" s="136" t="s">
        <v>125</v>
      </c>
      <c r="E226" s="137" t="s">
        <v>204</v>
      </c>
      <c r="F226" s="258" t="s">
        <v>205</v>
      </c>
      <c r="G226" s="258"/>
      <c r="H226" s="258"/>
      <c r="I226" s="258"/>
      <c r="J226" s="138" t="s">
        <v>195</v>
      </c>
      <c r="K226" s="139">
        <v>67.706000000000003</v>
      </c>
      <c r="L226" s="251">
        <v>0</v>
      </c>
      <c r="M226" s="251"/>
      <c r="N226" s="251">
        <f>L226*K226</f>
        <v>0</v>
      </c>
      <c r="O226" s="251"/>
      <c r="P226" s="251"/>
      <c r="Q226" s="251"/>
      <c r="R226" s="140"/>
      <c r="T226" s="141" t="s">
        <v>5</v>
      </c>
      <c r="U226" s="42" t="s">
        <v>37</v>
      </c>
      <c r="V226" s="142">
        <v>0</v>
      </c>
      <c r="W226" s="142">
        <f>V226*K226</f>
        <v>0</v>
      </c>
      <c r="X226" s="142">
        <v>0</v>
      </c>
      <c r="Y226" s="142">
        <f>X226*K226</f>
        <v>0</v>
      </c>
      <c r="Z226" s="142">
        <v>0</v>
      </c>
      <c r="AA226" s="143">
        <f>Z226*K226</f>
        <v>0</v>
      </c>
      <c r="AH226" s="20" t="s">
        <v>124</v>
      </c>
      <c r="AN226" s="144">
        <f>IF(U226="základní",N226,0)</f>
        <v>0</v>
      </c>
      <c r="AO226" s="144">
        <f>IF(U226="snížená",N226,0)</f>
        <v>0</v>
      </c>
      <c r="AP226" s="144">
        <f>IF(U226="zákl. přenesená",N226,0)</f>
        <v>0</v>
      </c>
      <c r="AQ226" s="144">
        <f>IF(U226="sníž. přenesená",N226,0)</f>
        <v>0</v>
      </c>
      <c r="AR226" s="144">
        <f>IF(U226="nulová",N226,0)</f>
        <v>0</v>
      </c>
      <c r="AS226" s="20" t="s">
        <v>73</v>
      </c>
      <c r="AT226" s="144">
        <f>ROUND(L226*K226,2)</f>
        <v>0</v>
      </c>
      <c r="AU226" s="20" t="s">
        <v>127</v>
      </c>
      <c r="AV226" s="20" t="s">
        <v>360</v>
      </c>
    </row>
    <row r="227" spans="2:48" s="9" customFormat="1" ht="29.85" customHeight="1">
      <c r="B227" s="125"/>
      <c r="C227" s="126"/>
      <c r="D227" s="134" t="s">
        <v>104</v>
      </c>
      <c r="E227" s="134"/>
      <c r="F227" s="134"/>
      <c r="G227" s="134"/>
      <c r="H227" s="134"/>
      <c r="I227" s="134"/>
      <c r="J227" s="134"/>
      <c r="K227" s="134"/>
      <c r="L227" s="134"/>
      <c r="M227" s="134"/>
      <c r="N227" s="294">
        <f>N228</f>
        <v>0</v>
      </c>
      <c r="O227" s="295"/>
      <c r="P227" s="295"/>
      <c r="Q227" s="295"/>
      <c r="R227" s="128"/>
      <c r="T227" s="129"/>
      <c r="U227" s="126"/>
      <c r="V227" s="126"/>
      <c r="W227" s="130">
        <f>W228</f>
        <v>30.923910000000003</v>
      </c>
      <c r="X227" s="126"/>
      <c r="Y227" s="130">
        <f>Y228</f>
        <v>0</v>
      </c>
      <c r="Z227" s="126"/>
      <c r="AA227" s="131">
        <f>AA228</f>
        <v>0</v>
      </c>
      <c r="AH227" s="132" t="s">
        <v>124</v>
      </c>
      <c r="AT227" s="133">
        <f>AT228</f>
        <v>0</v>
      </c>
    </row>
    <row r="228" spans="2:48" s="1" customFormat="1" ht="25.5" customHeight="1">
      <c r="B228" s="135"/>
      <c r="C228" s="136" t="s">
        <v>163</v>
      </c>
      <c r="D228" s="136" t="s">
        <v>125</v>
      </c>
      <c r="E228" s="137" t="s">
        <v>207</v>
      </c>
      <c r="F228" s="258" t="s">
        <v>208</v>
      </c>
      <c r="G228" s="258"/>
      <c r="H228" s="258"/>
      <c r="I228" s="258"/>
      <c r="J228" s="138" t="s">
        <v>195</v>
      </c>
      <c r="K228" s="139">
        <v>97.245000000000005</v>
      </c>
      <c r="L228" s="251">
        <v>0</v>
      </c>
      <c r="M228" s="251"/>
      <c r="N228" s="251">
        <f>K228*L228</f>
        <v>0</v>
      </c>
      <c r="O228" s="251"/>
      <c r="P228" s="251"/>
      <c r="Q228" s="251"/>
      <c r="R228" s="140"/>
      <c r="T228" s="141" t="s">
        <v>5</v>
      </c>
      <c r="U228" s="42" t="s">
        <v>37</v>
      </c>
      <c r="V228" s="142">
        <v>0.318</v>
      </c>
      <c r="W228" s="142">
        <f>V228*K228</f>
        <v>30.923910000000003</v>
      </c>
      <c r="X228" s="142">
        <v>0</v>
      </c>
      <c r="Y228" s="142">
        <f>X228*K228</f>
        <v>0</v>
      </c>
      <c r="Z228" s="142">
        <v>0</v>
      </c>
      <c r="AA228" s="143">
        <f>Z228*K228</f>
        <v>0</v>
      </c>
      <c r="AH228" s="20" t="s">
        <v>124</v>
      </c>
      <c r="AN228" s="144">
        <f>IF(U228="základní",N228,0)</f>
        <v>0</v>
      </c>
      <c r="AO228" s="144">
        <f>IF(U228="snížená",N228,0)</f>
        <v>0</v>
      </c>
      <c r="AP228" s="144">
        <f>IF(U228="zákl. přenesená",N228,0)</f>
        <v>0</v>
      </c>
      <c r="AQ228" s="144">
        <f>IF(U228="sníž. přenesená",N228,0)</f>
        <v>0</v>
      </c>
      <c r="AR228" s="144">
        <f>IF(U228="nulová",N228,0)</f>
        <v>0</v>
      </c>
      <c r="AS228" s="20" t="s">
        <v>73</v>
      </c>
      <c r="AT228" s="144">
        <f>ROUND(L228*K228,2)</f>
        <v>0</v>
      </c>
      <c r="AU228" s="20" t="s">
        <v>127</v>
      </c>
      <c r="AV228" s="20" t="s">
        <v>361</v>
      </c>
    </row>
    <row r="229" spans="2:48" s="9" customFormat="1" ht="37.35" customHeight="1">
      <c r="B229" s="125"/>
      <c r="C229" s="126"/>
      <c r="D229" s="182" t="s">
        <v>105</v>
      </c>
      <c r="E229" s="182"/>
      <c r="F229" s="182"/>
      <c r="G229" s="182"/>
      <c r="H229" s="182"/>
      <c r="I229" s="182"/>
      <c r="J229" s="182"/>
      <c r="K229" s="182"/>
      <c r="L229" s="182"/>
      <c r="M229" s="182"/>
      <c r="N229" s="296">
        <f>N230+N242+N247</f>
        <v>0</v>
      </c>
      <c r="O229" s="297"/>
      <c r="P229" s="297"/>
      <c r="Q229" s="297"/>
      <c r="R229" s="128"/>
      <c r="T229" s="129"/>
      <c r="U229" s="126"/>
      <c r="V229" s="126"/>
      <c r="W229" s="130">
        <f>W230+W242+W247</f>
        <v>676.75283349999995</v>
      </c>
      <c r="X229" s="126"/>
      <c r="Y229" s="130">
        <f>Y230+Y242+Y247</f>
        <v>2.3786851049999997</v>
      </c>
      <c r="Z229" s="126"/>
      <c r="AA229" s="131">
        <f>AA230+AA242+AA247</f>
        <v>0.58289499999999994</v>
      </c>
      <c r="AH229" s="132" t="s">
        <v>124</v>
      </c>
      <c r="AT229" s="133">
        <f>AT230+AT242+AT247</f>
        <v>0</v>
      </c>
    </row>
    <row r="230" spans="2:48" s="9" customFormat="1" ht="19.899999999999999" customHeight="1">
      <c r="B230" s="125"/>
      <c r="C230" s="126"/>
      <c r="D230" s="134" t="s">
        <v>106</v>
      </c>
      <c r="E230" s="134"/>
      <c r="F230" s="134"/>
      <c r="G230" s="134"/>
      <c r="H230" s="134"/>
      <c r="I230" s="134"/>
      <c r="J230" s="134"/>
      <c r="K230" s="134"/>
      <c r="L230" s="134"/>
      <c r="M230" s="134"/>
      <c r="N230" s="263">
        <f>N231+N235+N236+N240+N241</f>
        <v>0</v>
      </c>
      <c r="O230" s="264"/>
      <c r="P230" s="264"/>
      <c r="Q230" s="264"/>
      <c r="R230" s="128"/>
      <c r="T230" s="129"/>
      <c r="U230" s="126"/>
      <c r="V230" s="126"/>
      <c r="W230" s="130">
        <f>SUM(W231:W241)</f>
        <v>114.527</v>
      </c>
      <c r="X230" s="126"/>
      <c r="Y230" s="130">
        <f>SUM(Y231:Y241)</f>
        <v>0.52502500000000007</v>
      </c>
      <c r="Z230" s="126"/>
      <c r="AA230" s="131">
        <f>SUM(AA231:AA241)</f>
        <v>0.58289499999999994</v>
      </c>
      <c r="AH230" s="132" t="s">
        <v>124</v>
      </c>
      <c r="AT230" s="133">
        <f>SUM(AT231:AT241)</f>
        <v>0</v>
      </c>
    </row>
    <row r="231" spans="2:48" s="1" customFormat="1" ht="16.5" customHeight="1">
      <c r="B231" s="135"/>
      <c r="C231" s="136" t="s">
        <v>171</v>
      </c>
      <c r="D231" s="136" t="s">
        <v>125</v>
      </c>
      <c r="E231" s="137" t="s">
        <v>214</v>
      </c>
      <c r="F231" s="258" t="s">
        <v>215</v>
      </c>
      <c r="G231" s="258"/>
      <c r="H231" s="258"/>
      <c r="I231" s="258"/>
      <c r="J231" s="138" t="s">
        <v>138</v>
      </c>
      <c r="K231" s="139">
        <f>K234</f>
        <v>148.5</v>
      </c>
      <c r="L231" s="251">
        <v>0</v>
      </c>
      <c r="M231" s="251"/>
      <c r="N231" s="251">
        <f>L231*K231</f>
        <v>0</v>
      </c>
      <c r="O231" s="251"/>
      <c r="P231" s="251"/>
      <c r="Q231" s="251"/>
      <c r="R231" s="140"/>
      <c r="T231" s="141" t="s">
        <v>5</v>
      </c>
      <c r="U231" s="42" t="s">
        <v>37</v>
      </c>
      <c r="V231" s="142">
        <v>0.19500000000000001</v>
      </c>
      <c r="W231" s="142">
        <f>V231*K231</f>
        <v>28.9575</v>
      </c>
      <c r="X231" s="142">
        <v>0</v>
      </c>
      <c r="Y231" s="142">
        <f>X231*K231</f>
        <v>0</v>
      </c>
      <c r="Z231" s="142">
        <v>1.67E-3</v>
      </c>
      <c r="AA231" s="143">
        <f>Z231*K231</f>
        <v>0.24799499999999999</v>
      </c>
      <c r="AH231" s="20" t="s">
        <v>124</v>
      </c>
      <c r="AN231" s="144">
        <f>IF(U231="základní",N231,0)</f>
        <v>0</v>
      </c>
      <c r="AO231" s="144">
        <f>IF(U231="snížená",N231,0)</f>
        <v>0</v>
      </c>
      <c r="AP231" s="144">
        <f>IF(U231="zákl. přenesená",N231,0)</f>
        <v>0</v>
      </c>
      <c r="AQ231" s="144">
        <f>IF(U231="sníž. přenesená",N231,0)</f>
        <v>0</v>
      </c>
      <c r="AR231" s="144">
        <f>IF(U231="nulová",N231,0)</f>
        <v>0</v>
      </c>
      <c r="AS231" s="20" t="s">
        <v>73</v>
      </c>
      <c r="AT231" s="144">
        <f>ROUND(L231*K231,2)</f>
        <v>0</v>
      </c>
      <c r="AU231" s="20" t="s">
        <v>163</v>
      </c>
      <c r="AV231" s="20" t="s">
        <v>362</v>
      </c>
    </row>
    <row r="232" spans="2:48" s="10" customFormat="1" ht="16.5" customHeight="1">
      <c r="B232" s="145"/>
      <c r="C232" s="146"/>
      <c r="D232" s="146"/>
      <c r="E232" s="147" t="s">
        <v>5</v>
      </c>
      <c r="F232" s="261" t="s">
        <v>363</v>
      </c>
      <c r="G232" s="262"/>
      <c r="H232" s="262"/>
      <c r="I232" s="262"/>
      <c r="J232" s="146"/>
      <c r="K232" s="147" t="s">
        <v>5</v>
      </c>
      <c r="L232" s="146"/>
      <c r="M232" s="146"/>
      <c r="N232" s="146"/>
      <c r="O232" s="146"/>
      <c r="P232" s="146"/>
      <c r="Q232" s="146"/>
      <c r="R232" s="148"/>
      <c r="T232" s="149"/>
      <c r="U232" s="146"/>
      <c r="V232" s="146"/>
      <c r="W232" s="146"/>
      <c r="X232" s="146"/>
      <c r="Y232" s="146"/>
      <c r="Z232" s="146"/>
      <c r="AA232" s="150"/>
      <c r="AE232" s="10" t="s">
        <v>73</v>
      </c>
      <c r="AF232" s="10" t="s">
        <v>29</v>
      </c>
      <c r="AG232" s="10" t="s">
        <v>71</v>
      </c>
      <c r="AH232" s="151" t="s">
        <v>124</v>
      </c>
    </row>
    <row r="233" spans="2:48" s="11" customFormat="1" ht="16.5" customHeight="1">
      <c r="B233" s="152"/>
      <c r="C233" s="153"/>
      <c r="D233" s="153"/>
      <c r="E233" s="154" t="s">
        <v>5</v>
      </c>
      <c r="F233" s="252">
        <v>148.5</v>
      </c>
      <c r="G233" s="253"/>
      <c r="H233" s="253"/>
      <c r="I233" s="253"/>
      <c r="J233" s="153"/>
      <c r="K233" s="155">
        <v>148.5</v>
      </c>
      <c r="L233" s="153"/>
      <c r="M233" s="153"/>
      <c r="N233" s="153"/>
      <c r="O233" s="153"/>
      <c r="P233" s="153"/>
      <c r="Q233" s="153"/>
      <c r="R233" s="156"/>
      <c r="T233" s="157"/>
      <c r="U233" s="153"/>
      <c r="V233" s="153"/>
      <c r="W233" s="153"/>
      <c r="X233" s="153"/>
      <c r="Y233" s="153"/>
      <c r="Z233" s="153"/>
      <c r="AA233" s="158"/>
      <c r="AE233" s="11" t="s">
        <v>91</v>
      </c>
      <c r="AF233" s="11" t="s">
        <v>29</v>
      </c>
      <c r="AG233" s="11" t="s">
        <v>71</v>
      </c>
      <c r="AH233" s="159" t="s">
        <v>124</v>
      </c>
    </row>
    <row r="234" spans="2:48" s="12" customFormat="1" ht="16.5" customHeight="1">
      <c r="B234" s="160"/>
      <c r="C234" s="161"/>
      <c r="D234" s="161"/>
      <c r="E234" s="162" t="s">
        <v>5</v>
      </c>
      <c r="F234" s="256" t="s">
        <v>128</v>
      </c>
      <c r="G234" s="257"/>
      <c r="H234" s="257"/>
      <c r="I234" s="257"/>
      <c r="J234" s="161"/>
      <c r="K234" s="163">
        <f>K233</f>
        <v>148.5</v>
      </c>
      <c r="L234" s="161"/>
      <c r="M234" s="161"/>
      <c r="N234" s="161"/>
      <c r="O234" s="161"/>
      <c r="P234" s="161"/>
      <c r="Q234" s="161"/>
      <c r="R234" s="164"/>
      <c r="T234" s="165"/>
      <c r="U234" s="161"/>
      <c r="V234" s="161"/>
      <c r="W234" s="161"/>
      <c r="X234" s="161"/>
      <c r="Y234" s="161"/>
      <c r="Z234" s="161"/>
      <c r="AA234" s="166"/>
      <c r="AE234" s="12" t="s">
        <v>127</v>
      </c>
      <c r="AF234" s="12" t="s">
        <v>29</v>
      </c>
      <c r="AG234" s="12" t="s">
        <v>73</v>
      </c>
      <c r="AH234" s="167" t="s">
        <v>124</v>
      </c>
    </row>
    <row r="235" spans="2:48" s="1" customFormat="1" ht="16.5" customHeight="1">
      <c r="B235" s="135"/>
      <c r="C235" s="136" t="s">
        <v>174</v>
      </c>
      <c r="D235" s="136" t="s">
        <v>125</v>
      </c>
      <c r="E235" s="137" t="s">
        <v>221</v>
      </c>
      <c r="F235" s="258" t="s">
        <v>222</v>
      </c>
      <c r="G235" s="258"/>
      <c r="H235" s="258"/>
      <c r="I235" s="258"/>
      <c r="J235" s="138" t="s">
        <v>138</v>
      </c>
      <c r="K235" s="139">
        <v>85</v>
      </c>
      <c r="L235" s="251">
        <v>0</v>
      </c>
      <c r="M235" s="251"/>
      <c r="N235" s="251">
        <f>L235*K235</f>
        <v>0</v>
      </c>
      <c r="O235" s="251"/>
      <c r="P235" s="251"/>
      <c r="Q235" s="251"/>
      <c r="R235" s="140"/>
      <c r="T235" s="141" t="s">
        <v>5</v>
      </c>
      <c r="U235" s="42" t="s">
        <v>37</v>
      </c>
      <c r="V235" s="142">
        <v>0.14699999999999999</v>
      </c>
      <c r="W235" s="142">
        <f>V235*K235</f>
        <v>12.494999999999999</v>
      </c>
      <c r="X235" s="142">
        <v>0</v>
      </c>
      <c r="Y235" s="142">
        <f>X235*K235</f>
        <v>0</v>
      </c>
      <c r="Z235" s="142">
        <v>3.9399999999999999E-3</v>
      </c>
      <c r="AA235" s="143">
        <f>Z235*K235</f>
        <v>0.33489999999999998</v>
      </c>
      <c r="AH235" s="20" t="s">
        <v>124</v>
      </c>
      <c r="AN235" s="144">
        <f>IF(U235="základní",N235,0)</f>
        <v>0</v>
      </c>
      <c r="AO235" s="144">
        <f>IF(U235="snížená",N235,0)</f>
        <v>0</v>
      </c>
      <c r="AP235" s="144">
        <f>IF(U235="zákl. přenesená",N235,0)</f>
        <v>0</v>
      </c>
      <c r="AQ235" s="144">
        <f>IF(U235="sníž. přenesená",N235,0)</f>
        <v>0</v>
      </c>
      <c r="AR235" s="144">
        <f>IF(U235="nulová",N235,0)</f>
        <v>0</v>
      </c>
      <c r="AS235" s="20" t="s">
        <v>73</v>
      </c>
      <c r="AT235" s="144">
        <f>ROUND(L235*K235,2)</f>
        <v>0</v>
      </c>
      <c r="AU235" s="20" t="s">
        <v>163</v>
      </c>
      <c r="AV235" s="20" t="s">
        <v>364</v>
      </c>
    </row>
    <row r="236" spans="2:48" s="1" customFormat="1" ht="25.5" customHeight="1">
      <c r="B236" s="135"/>
      <c r="C236" s="136" t="s">
        <v>177</v>
      </c>
      <c r="D236" s="136" t="s">
        <v>125</v>
      </c>
      <c r="E236" s="137" t="s">
        <v>226</v>
      </c>
      <c r="F236" s="258" t="s">
        <v>365</v>
      </c>
      <c r="G236" s="258"/>
      <c r="H236" s="258"/>
      <c r="I236" s="258"/>
      <c r="J236" s="138" t="s">
        <v>138</v>
      </c>
      <c r="K236" s="139">
        <v>106.5</v>
      </c>
      <c r="L236" s="251">
        <v>0</v>
      </c>
      <c r="M236" s="251"/>
      <c r="N236" s="251">
        <f>L236*K236</f>
        <v>0</v>
      </c>
      <c r="O236" s="251"/>
      <c r="P236" s="251"/>
      <c r="Q236" s="251"/>
      <c r="R236" s="140"/>
      <c r="T236" s="141" t="s">
        <v>5</v>
      </c>
      <c r="U236" s="42" t="s">
        <v>37</v>
      </c>
      <c r="V236" s="142">
        <v>0.36299999999999999</v>
      </c>
      <c r="W236" s="142">
        <f>V236*K236</f>
        <v>38.659500000000001</v>
      </c>
      <c r="X236" s="142">
        <v>3.15E-3</v>
      </c>
      <c r="Y236" s="142">
        <f>X236*K236</f>
        <v>0.33547500000000002</v>
      </c>
      <c r="Z236" s="142">
        <v>0</v>
      </c>
      <c r="AA236" s="143">
        <f>Z236*K236</f>
        <v>0</v>
      </c>
      <c r="AH236" s="20" t="s">
        <v>124</v>
      </c>
      <c r="AN236" s="144">
        <f>IF(U236="základní",N236,0)</f>
        <v>0</v>
      </c>
      <c r="AO236" s="144">
        <f>IF(U236="snížená",N236,0)</f>
        <v>0</v>
      </c>
      <c r="AP236" s="144">
        <f>IF(U236="zákl. přenesená",N236,0)</f>
        <v>0</v>
      </c>
      <c r="AQ236" s="144">
        <f>IF(U236="sníž. přenesená",N236,0)</f>
        <v>0</v>
      </c>
      <c r="AR236" s="144">
        <f>IF(U236="nulová",N236,0)</f>
        <v>0</v>
      </c>
      <c r="AS236" s="20" t="s">
        <v>73</v>
      </c>
      <c r="AT236" s="144">
        <f>ROUND(L236*K236,2)</f>
        <v>0</v>
      </c>
      <c r="AU236" s="20" t="s">
        <v>163</v>
      </c>
      <c r="AV236" s="20" t="s">
        <v>366</v>
      </c>
    </row>
    <row r="237" spans="2:48" s="10" customFormat="1" ht="16.5" customHeight="1">
      <c r="B237" s="145"/>
      <c r="C237" s="146"/>
      <c r="D237" s="146"/>
      <c r="E237" s="147" t="s">
        <v>5</v>
      </c>
      <c r="F237" s="261" t="s">
        <v>367</v>
      </c>
      <c r="G237" s="262"/>
      <c r="H237" s="262"/>
      <c r="I237" s="262"/>
      <c r="J237" s="146"/>
      <c r="K237" s="147" t="s">
        <v>5</v>
      </c>
      <c r="L237" s="146"/>
      <c r="M237" s="146"/>
      <c r="N237" s="146"/>
      <c r="O237" s="146"/>
      <c r="P237" s="146"/>
      <c r="Q237" s="146"/>
      <c r="R237" s="148"/>
      <c r="T237" s="149"/>
      <c r="U237" s="146"/>
      <c r="V237" s="146"/>
      <c r="W237" s="146"/>
      <c r="X237" s="146"/>
      <c r="Y237" s="146"/>
      <c r="Z237" s="146"/>
      <c r="AA237" s="150"/>
      <c r="AE237" s="10" t="s">
        <v>73</v>
      </c>
      <c r="AF237" s="10" t="s">
        <v>29</v>
      </c>
      <c r="AG237" s="10" t="s">
        <v>71</v>
      </c>
      <c r="AH237" s="151" t="s">
        <v>124</v>
      </c>
    </row>
    <row r="238" spans="2:48" s="11" customFormat="1" ht="16.5" customHeight="1">
      <c r="B238" s="152"/>
      <c r="C238" s="153"/>
      <c r="D238" s="153"/>
      <c r="E238" s="154" t="s">
        <v>5</v>
      </c>
      <c r="F238" s="252" t="s">
        <v>338</v>
      </c>
      <c r="G238" s="253"/>
      <c r="H238" s="253"/>
      <c r="I238" s="253"/>
      <c r="J238" s="153"/>
      <c r="K238" s="155">
        <v>106.5</v>
      </c>
      <c r="L238" s="153"/>
      <c r="M238" s="153"/>
      <c r="N238" s="153"/>
      <c r="O238" s="153"/>
      <c r="P238" s="153"/>
      <c r="Q238" s="153"/>
      <c r="R238" s="156"/>
      <c r="T238" s="157"/>
      <c r="U238" s="153"/>
      <c r="V238" s="153"/>
      <c r="W238" s="153"/>
      <c r="X238" s="153"/>
      <c r="Y238" s="153"/>
      <c r="Z238" s="153"/>
      <c r="AA238" s="158"/>
      <c r="AE238" s="11" t="s">
        <v>91</v>
      </c>
      <c r="AF238" s="11" t="s">
        <v>29</v>
      </c>
      <c r="AG238" s="11" t="s">
        <v>71</v>
      </c>
      <c r="AH238" s="159" t="s">
        <v>124</v>
      </c>
    </row>
    <row r="239" spans="2:48" s="12" customFormat="1" ht="16.5" customHeight="1">
      <c r="B239" s="160"/>
      <c r="C239" s="161"/>
      <c r="D239" s="161"/>
      <c r="E239" s="162" t="s">
        <v>5</v>
      </c>
      <c r="F239" s="256" t="s">
        <v>128</v>
      </c>
      <c r="G239" s="257"/>
      <c r="H239" s="257"/>
      <c r="I239" s="257"/>
      <c r="J239" s="161"/>
      <c r="K239" s="163">
        <v>106.5</v>
      </c>
      <c r="L239" s="161"/>
      <c r="M239" s="161"/>
      <c r="N239" s="161"/>
      <c r="O239" s="161"/>
      <c r="P239" s="161"/>
      <c r="Q239" s="161"/>
      <c r="R239" s="164"/>
      <c r="T239" s="165"/>
      <c r="U239" s="161"/>
      <c r="V239" s="161"/>
      <c r="W239" s="161"/>
      <c r="X239" s="161"/>
      <c r="Y239" s="161"/>
      <c r="Z239" s="161"/>
      <c r="AA239" s="166"/>
      <c r="AE239" s="12" t="s">
        <v>127</v>
      </c>
      <c r="AF239" s="12" t="s">
        <v>29</v>
      </c>
      <c r="AG239" s="12" t="s">
        <v>73</v>
      </c>
      <c r="AH239" s="167" t="s">
        <v>124</v>
      </c>
    </row>
    <row r="240" spans="2:48" s="1" customFormat="1" ht="38.25" customHeight="1">
      <c r="B240" s="135"/>
      <c r="C240" s="136" t="s">
        <v>178</v>
      </c>
      <c r="D240" s="136" t="s">
        <v>125</v>
      </c>
      <c r="E240" s="137" t="s">
        <v>231</v>
      </c>
      <c r="F240" s="258" t="s">
        <v>368</v>
      </c>
      <c r="G240" s="258"/>
      <c r="H240" s="258"/>
      <c r="I240" s="258"/>
      <c r="J240" s="138" t="s">
        <v>138</v>
      </c>
      <c r="K240" s="139">
        <v>85</v>
      </c>
      <c r="L240" s="251">
        <v>0</v>
      </c>
      <c r="M240" s="251"/>
      <c r="N240" s="251">
        <f>L240*K240</f>
        <v>0</v>
      </c>
      <c r="O240" s="251"/>
      <c r="P240" s="251"/>
      <c r="Q240" s="251"/>
      <c r="R240" s="140"/>
      <c r="T240" s="141" t="s">
        <v>5</v>
      </c>
      <c r="U240" s="42" t="s">
        <v>37</v>
      </c>
      <c r="V240" s="142">
        <v>0.33400000000000002</v>
      </c>
      <c r="W240" s="142">
        <f>V240*K240</f>
        <v>28.39</v>
      </c>
      <c r="X240" s="142">
        <v>2.2300000000000002E-3</v>
      </c>
      <c r="Y240" s="142">
        <f>X240*K240</f>
        <v>0.18955000000000002</v>
      </c>
      <c r="Z240" s="142">
        <v>0</v>
      </c>
      <c r="AA240" s="143">
        <f>Z240*K240</f>
        <v>0</v>
      </c>
      <c r="AH240" s="20" t="s">
        <v>124</v>
      </c>
      <c r="AN240" s="144">
        <f>IF(U240="základní",N240,0)</f>
        <v>0</v>
      </c>
      <c r="AO240" s="144">
        <f>IF(U240="snížená",N240,0)</f>
        <v>0</v>
      </c>
      <c r="AP240" s="144">
        <f>IF(U240="zákl. přenesená",N240,0)</f>
        <v>0</v>
      </c>
      <c r="AQ240" s="144">
        <f>IF(U240="sníž. přenesená",N240,0)</f>
        <v>0</v>
      </c>
      <c r="AR240" s="144">
        <f>IF(U240="nulová",N240,0)</f>
        <v>0</v>
      </c>
      <c r="AS240" s="20" t="s">
        <v>73</v>
      </c>
      <c r="AT240" s="144">
        <f>ROUND(L240*K240,2)</f>
        <v>0</v>
      </c>
      <c r="AU240" s="20" t="s">
        <v>163</v>
      </c>
      <c r="AV240" s="20" t="s">
        <v>369</v>
      </c>
    </row>
    <row r="241" spans="2:48" s="1" customFormat="1" ht="25.5" customHeight="1">
      <c r="B241" s="135"/>
      <c r="C241" s="136" t="s">
        <v>8</v>
      </c>
      <c r="D241" s="136" t="s">
        <v>125</v>
      </c>
      <c r="E241" s="137" t="s">
        <v>233</v>
      </c>
      <c r="F241" s="258" t="s">
        <v>234</v>
      </c>
      <c r="G241" s="258"/>
      <c r="H241" s="258"/>
      <c r="I241" s="258"/>
      <c r="J241" s="138" t="s">
        <v>195</v>
      </c>
      <c r="K241" s="139">
        <v>1.25</v>
      </c>
      <c r="L241" s="251">
        <v>0</v>
      </c>
      <c r="M241" s="251"/>
      <c r="N241" s="251">
        <f>L241*K241</f>
        <v>0</v>
      </c>
      <c r="O241" s="251"/>
      <c r="P241" s="251"/>
      <c r="Q241" s="251"/>
      <c r="R241" s="140"/>
      <c r="T241" s="141" t="s">
        <v>5</v>
      </c>
      <c r="U241" s="42" t="s">
        <v>37</v>
      </c>
      <c r="V241" s="142">
        <v>4.82</v>
      </c>
      <c r="W241" s="142">
        <f>V241*K241</f>
        <v>6.0250000000000004</v>
      </c>
      <c r="X241" s="142">
        <v>0</v>
      </c>
      <c r="Y241" s="142">
        <f>X241*K241</f>
        <v>0</v>
      </c>
      <c r="Z241" s="142">
        <v>0</v>
      </c>
      <c r="AA241" s="143">
        <f>Z241*K241</f>
        <v>0</v>
      </c>
      <c r="AH241" s="20" t="s">
        <v>124</v>
      </c>
      <c r="AN241" s="144">
        <f>IF(U241="základní",N241,0)</f>
        <v>0</v>
      </c>
      <c r="AO241" s="144">
        <f>IF(U241="snížená",N241,0)</f>
        <v>0</v>
      </c>
      <c r="AP241" s="144">
        <f>IF(U241="zákl. přenesená",N241,0)</f>
        <v>0</v>
      </c>
      <c r="AQ241" s="144">
        <f>IF(U241="sníž. přenesená",N241,0)</f>
        <v>0</v>
      </c>
      <c r="AR241" s="144">
        <f>IF(U241="nulová",N241,0)</f>
        <v>0</v>
      </c>
      <c r="AS241" s="20" t="s">
        <v>73</v>
      </c>
      <c r="AT241" s="144">
        <f>ROUND(L241*K241,2)</f>
        <v>0</v>
      </c>
      <c r="AU241" s="20" t="s">
        <v>163</v>
      </c>
      <c r="AV241" s="20" t="s">
        <v>370</v>
      </c>
    </row>
    <row r="242" spans="2:48" s="9" customFormat="1" ht="29.85" customHeight="1">
      <c r="B242" s="125"/>
      <c r="C242" s="126"/>
      <c r="D242" s="134" t="s">
        <v>107</v>
      </c>
      <c r="E242" s="134"/>
      <c r="F242" s="134"/>
      <c r="G242" s="134"/>
      <c r="H242" s="134"/>
      <c r="I242" s="134"/>
      <c r="J242" s="134"/>
      <c r="K242" s="134"/>
      <c r="L242" s="134"/>
      <c r="M242" s="134"/>
      <c r="N242" s="294">
        <f>N243+N245</f>
        <v>0</v>
      </c>
      <c r="O242" s="295"/>
      <c r="P242" s="295"/>
      <c r="Q242" s="295"/>
      <c r="R242" s="128"/>
      <c r="T242" s="129"/>
      <c r="U242" s="126"/>
      <c r="V242" s="126"/>
      <c r="W242" s="130">
        <f>SUM(W243:W246)</f>
        <v>0</v>
      </c>
      <c r="X242" s="126"/>
      <c r="Y242" s="130">
        <f>SUM(Y243:Y246)</f>
        <v>0</v>
      </c>
      <c r="Z242" s="126"/>
      <c r="AA242" s="131">
        <f>SUM(AA243:AA246)</f>
        <v>0</v>
      </c>
      <c r="AH242" s="132" t="s">
        <v>124</v>
      </c>
      <c r="AT242" s="133">
        <f>SUM(AT243:AT246)</f>
        <v>0</v>
      </c>
    </row>
    <row r="243" spans="2:48" s="1" customFormat="1" ht="16.5" customHeight="1">
      <c r="B243" s="135"/>
      <c r="C243" s="136" t="s">
        <v>184</v>
      </c>
      <c r="D243" s="136" t="s">
        <v>125</v>
      </c>
      <c r="E243" s="137" t="s">
        <v>238</v>
      </c>
      <c r="F243" s="258" t="s">
        <v>371</v>
      </c>
      <c r="G243" s="258"/>
      <c r="H243" s="258"/>
      <c r="I243" s="258"/>
      <c r="J243" s="138" t="s">
        <v>181</v>
      </c>
      <c r="K243" s="139">
        <v>1</v>
      </c>
      <c r="L243" s="251">
        <v>0</v>
      </c>
      <c r="M243" s="251"/>
      <c r="N243" s="251">
        <f>L243*K243</f>
        <v>0</v>
      </c>
      <c r="O243" s="251"/>
      <c r="P243" s="251"/>
      <c r="Q243" s="251"/>
      <c r="R243" s="140"/>
      <c r="T243" s="141" t="s">
        <v>5</v>
      </c>
      <c r="U243" s="42" t="s">
        <v>37</v>
      </c>
      <c r="V243" s="142">
        <v>0</v>
      </c>
      <c r="W243" s="142">
        <f>V243*K243</f>
        <v>0</v>
      </c>
      <c r="X243" s="142">
        <v>0</v>
      </c>
      <c r="Y243" s="142">
        <f>X243*K243</f>
        <v>0</v>
      </c>
      <c r="Z243" s="142">
        <v>0</v>
      </c>
      <c r="AA243" s="143">
        <f>Z243*K243</f>
        <v>0</v>
      </c>
      <c r="AH243" s="20" t="s">
        <v>124</v>
      </c>
      <c r="AN243" s="144">
        <f>IF(U243="základní",N243,0)</f>
        <v>0</v>
      </c>
      <c r="AO243" s="144">
        <f>IF(U243="snížená",N243,0)</f>
        <v>0</v>
      </c>
      <c r="AP243" s="144">
        <f>IF(U243="zákl. přenesená",N243,0)</f>
        <v>0</v>
      </c>
      <c r="AQ243" s="144">
        <f>IF(U243="sníž. přenesená",N243,0)</f>
        <v>0</v>
      </c>
      <c r="AR243" s="144">
        <f>IF(U243="nulová",N243,0)</f>
        <v>0</v>
      </c>
      <c r="AS243" s="20" t="s">
        <v>73</v>
      </c>
      <c r="AT243" s="144">
        <f>ROUND(L243*K243,2)</f>
        <v>0</v>
      </c>
      <c r="AU243" s="20" t="s">
        <v>163</v>
      </c>
      <c r="AV243" s="20" t="s">
        <v>372</v>
      </c>
    </row>
    <row r="244" spans="2:48" s="1" customFormat="1" ht="84" customHeight="1">
      <c r="B244" s="33"/>
      <c r="C244" s="34"/>
      <c r="D244" s="34"/>
      <c r="E244" s="34"/>
      <c r="F244" s="292" t="s">
        <v>373</v>
      </c>
      <c r="G244" s="293"/>
      <c r="H244" s="293"/>
      <c r="I244" s="293"/>
      <c r="J244" s="34"/>
      <c r="K244" s="34"/>
      <c r="L244" s="34"/>
      <c r="M244" s="34"/>
      <c r="N244" s="34"/>
      <c r="O244" s="34"/>
      <c r="P244" s="34"/>
      <c r="Q244" s="34"/>
      <c r="R244" s="35"/>
      <c r="T244" s="168"/>
      <c r="U244" s="34"/>
      <c r="V244" s="34"/>
      <c r="W244" s="34"/>
      <c r="X244" s="34"/>
      <c r="Y244" s="34"/>
      <c r="Z244" s="34"/>
      <c r="AA244" s="72"/>
    </row>
    <row r="245" spans="2:48" s="1" customFormat="1" ht="16.5" customHeight="1">
      <c r="B245" s="135"/>
      <c r="C245" s="136" t="s">
        <v>187</v>
      </c>
      <c r="D245" s="136" t="s">
        <v>125</v>
      </c>
      <c r="E245" s="137" t="s">
        <v>374</v>
      </c>
      <c r="F245" s="258" t="s">
        <v>375</v>
      </c>
      <c r="G245" s="258"/>
      <c r="H245" s="258"/>
      <c r="I245" s="258"/>
      <c r="J245" s="138" t="s">
        <v>181</v>
      </c>
      <c r="K245" s="139">
        <v>4</v>
      </c>
      <c r="L245" s="251">
        <v>0</v>
      </c>
      <c r="M245" s="251"/>
      <c r="N245" s="251">
        <f>L245*K245</f>
        <v>0</v>
      </c>
      <c r="O245" s="251"/>
      <c r="P245" s="251"/>
      <c r="Q245" s="251"/>
      <c r="R245" s="140"/>
      <c r="T245" s="141" t="s">
        <v>5</v>
      </c>
      <c r="U245" s="42" t="s">
        <v>37</v>
      </c>
      <c r="V245" s="142">
        <v>0</v>
      </c>
      <c r="W245" s="142">
        <f>V245*K245</f>
        <v>0</v>
      </c>
      <c r="X245" s="142">
        <v>0</v>
      </c>
      <c r="Y245" s="142">
        <f>X245*K245</f>
        <v>0</v>
      </c>
      <c r="Z245" s="142">
        <v>0</v>
      </c>
      <c r="AA245" s="143">
        <f>Z245*K245</f>
        <v>0</v>
      </c>
      <c r="AH245" s="20" t="s">
        <v>124</v>
      </c>
      <c r="AN245" s="144">
        <f>IF(U245="základní",N245,0)</f>
        <v>0</v>
      </c>
      <c r="AO245" s="144">
        <f>IF(U245="snížená",N245,0)</f>
        <v>0</v>
      </c>
      <c r="AP245" s="144">
        <f>IF(U245="zákl. přenesená",N245,0)</f>
        <v>0</v>
      </c>
      <c r="AQ245" s="144">
        <f>IF(U245="sníž. přenesená",N245,0)</f>
        <v>0</v>
      </c>
      <c r="AR245" s="144">
        <f>IF(U245="nulová",N245,0)</f>
        <v>0</v>
      </c>
      <c r="AS245" s="20" t="s">
        <v>73</v>
      </c>
      <c r="AT245" s="144">
        <f>ROUND(L245*K245,2)</f>
        <v>0</v>
      </c>
      <c r="AU245" s="20" t="s">
        <v>163</v>
      </c>
      <c r="AV245" s="20" t="s">
        <v>376</v>
      </c>
    </row>
    <row r="246" spans="2:48" s="1" customFormat="1" ht="84" customHeight="1">
      <c r="B246" s="33"/>
      <c r="C246" s="34"/>
      <c r="D246" s="34"/>
      <c r="E246" s="34"/>
      <c r="F246" s="292" t="s">
        <v>377</v>
      </c>
      <c r="G246" s="293"/>
      <c r="H246" s="293"/>
      <c r="I246" s="293"/>
      <c r="J246" s="34"/>
      <c r="K246" s="34"/>
      <c r="L246" s="34"/>
      <c r="M246" s="34"/>
      <c r="N246" s="34"/>
      <c r="O246" s="34"/>
      <c r="P246" s="34"/>
      <c r="Q246" s="34"/>
      <c r="R246" s="35"/>
      <c r="T246" s="168"/>
      <c r="U246" s="34"/>
      <c r="V246" s="34"/>
      <c r="W246" s="34"/>
      <c r="X246" s="34"/>
      <c r="Y246" s="34"/>
      <c r="Z246" s="34"/>
      <c r="AA246" s="72"/>
    </row>
    <row r="247" spans="2:48" s="9" customFormat="1" ht="29.85" customHeight="1">
      <c r="B247" s="125"/>
      <c r="C247" s="126"/>
      <c r="D247" s="134" t="s">
        <v>108</v>
      </c>
      <c r="E247" s="134"/>
      <c r="F247" s="134"/>
      <c r="G247" s="134"/>
      <c r="H247" s="134"/>
      <c r="I247" s="134"/>
      <c r="J247" s="134"/>
      <c r="K247" s="134"/>
      <c r="L247" s="134"/>
      <c r="M247" s="134"/>
      <c r="N247" s="263">
        <f>N248+N261+N274</f>
        <v>0</v>
      </c>
      <c r="O247" s="264"/>
      <c r="P247" s="264"/>
      <c r="Q247" s="264"/>
      <c r="R247" s="128"/>
      <c r="T247" s="129"/>
      <c r="U247" s="126"/>
      <c r="V247" s="126"/>
      <c r="W247" s="130">
        <f>SUM(W248:W274)</f>
        <v>562.22583349999991</v>
      </c>
      <c r="X247" s="126"/>
      <c r="Y247" s="130">
        <f>SUM(Y248:Y274)</f>
        <v>1.8536601049999997</v>
      </c>
      <c r="Z247" s="126"/>
      <c r="AA247" s="131">
        <f>SUM(AA248:AA274)</f>
        <v>0</v>
      </c>
      <c r="AH247" s="132" t="s">
        <v>124</v>
      </c>
      <c r="AT247" s="133">
        <f>SUM(AT248:AT274)</f>
        <v>0</v>
      </c>
    </row>
    <row r="248" spans="2:48" s="1" customFormat="1" ht="25.5" customHeight="1">
      <c r="B248" s="135"/>
      <c r="C248" s="136" t="s">
        <v>190</v>
      </c>
      <c r="D248" s="136" t="s">
        <v>125</v>
      </c>
      <c r="E248" s="137" t="s">
        <v>246</v>
      </c>
      <c r="F248" s="258" t="s">
        <v>247</v>
      </c>
      <c r="G248" s="258"/>
      <c r="H248" s="258"/>
      <c r="I248" s="258"/>
      <c r="J248" s="138" t="s">
        <v>126</v>
      </c>
      <c r="K248" s="139">
        <f>K260</f>
        <v>1531.9504999999997</v>
      </c>
      <c r="L248" s="251">
        <v>0</v>
      </c>
      <c r="M248" s="251"/>
      <c r="N248" s="251">
        <f>L248*K248</f>
        <v>0</v>
      </c>
      <c r="O248" s="251"/>
      <c r="P248" s="251"/>
      <c r="Q248" s="251"/>
      <c r="R248" s="140"/>
      <c r="T248" s="141" t="s">
        <v>5</v>
      </c>
      <c r="U248" s="42" t="s">
        <v>37</v>
      </c>
      <c r="V248" s="142">
        <v>8.3000000000000004E-2</v>
      </c>
      <c r="W248" s="142">
        <f>V248*K248</f>
        <v>127.15189149999998</v>
      </c>
      <c r="X248" s="142">
        <v>2.1000000000000001E-4</v>
      </c>
      <c r="Y248" s="142">
        <f>X248*K248</f>
        <v>0.32170960499999995</v>
      </c>
      <c r="Z248" s="142">
        <v>0</v>
      </c>
      <c r="AA248" s="143">
        <f>Z248*K248</f>
        <v>0</v>
      </c>
      <c r="AH248" s="20" t="s">
        <v>124</v>
      </c>
      <c r="AN248" s="144">
        <f>IF(U248="základní",N248,0)</f>
        <v>0</v>
      </c>
      <c r="AO248" s="144">
        <f>IF(U248="snížená",N248,0)</f>
        <v>0</v>
      </c>
      <c r="AP248" s="144">
        <f>IF(U248="zákl. přenesená",N248,0)</f>
        <v>0</v>
      </c>
      <c r="AQ248" s="144">
        <f>IF(U248="sníž. přenesená",N248,0)</f>
        <v>0</v>
      </c>
      <c r="AR248" s="144">
        <f>IF(U248="nulová",N248,0)</f>
        <v>0</v>
      </c>
      <c r="AS248" s="20" t="s">
        <v>73</v>
      </c>
      <c r="AT248" s="144">
        <f>ROUND(L248*K248,2)</f>
        <v>0</v>
      </c>
      <c r="AU248" s="20" t="s">
        <v>163</v>
      </c>
      <c r="AV248" s="20" t="s">
        <v>378</v>
      </c>
    </row>
    <row r="249" spans="2:48" s="10" customFormat="1" ht="16.5" customHeight="1">
      <c r="B249" s="145"/>
      <c r="C249" s="146"/>
      <c r="D249" s="146"/>
      <c r="E249" s="147" t="s">
        <v>5</v>
      </c>
      <c r="F249" s="261" t="s">
        <v>379</v>
      </c>
      <c r="G249" s="262"/>
      <c r="H249" s="262"/>
      <c r="I249" s="262"/>
      <c r="J249" s="146"/>
      <c r="K249" s="147" t="s">
        <v>5</v>
      </c>
      <c r="L249" s="146"/>
      <c r="M249" s="146"/>
      <c r="N249" s="146"/>
      <c r="O249" s="146"/>
      <c r="P249" s="146"/>
      <c r="Q249" s="146"/>
      <c r="R249" s="148"/>
      <c r="T249" s="149"/>
      <c r="U249" s="146"/>
      <c r="V249" s="146"/>
      <c r="W249" s="146"/>
      <c r="X249" s="146"/>
      <c r="Y249" s="146"/>
      <c r="Z249" s="146"/>
      <c r="AA249" s="150"/>
      <c r="AE249" s="10" t="s">
        <v>73</v>
      </c>
      <c r="AF249" s="10" t="s">
        <v>29</v>
      </c>
      <c r="AG249" s="10" t="s">
        <v>71</v>
      </c>
      <c r="AH249" s="151" t="s">
        <v>124</v>
      </c>
    </row>
    <row r="250" spans="2:48" s="10" customFormat="1" ht="16.5" customHeight="1">
      <c r="B250" s="145"/>
      <c r="C250" s="146"/>
      <c r="D250" s="146"/>
      <c r="E250" s="147" t="s">
        <v>5</v>
      </c>
      <c r="F250" s="259" t="s">
        <v>332</v>
      </c>
      <c r="G250" s="260"/>
      <c r="H250" s="260"/>
      <c r="I250" s="260"/>
      <c r="J250" s="146"/>
      <c r="K250" s="147" t="s">
        <v>5</v>
      </c>
      <c r="L250" s="146"/>
      <c r="M250" s="146"/>
      <c r="N250" s="146"/>
      <c r="O250" s="146"/>
      <c r="P250" s="146"/>
      <c r="Q250" s="146"/>
      <c r="R250" s="148"/>
      <c r="T250" s="149"/>
      <c r="U250" s="146"/>
      <c r="V250" s="146"/>
      <c r="W250" s="146"/>
      <c r="X250" s="146"/>
      <c r="Y250" s="146"/>
      <c r="Z250" s="146"/>
      <c r="AA250" s="150"/>
      <c r="AE250" s="10" t="s">
        <v>73</v>
      </c>
      <c r="AF250" s="10" t="s">
        <v>29</v>
      </c>
      <c r="AG250" s="10" t="s">
        <v>71</v>
      </c>
      <c r="AH250" s="151" t="s">
        <v>124</v>
      </c>
    </row>
    <row r="251" spans="2:48" s="11" customFormat="1" ht="25.5" customHeight="1">
      <c r="B251" s="152"/>
      <c r="C251" s="153"/>
      <c r="D251" s="153"/>
      <c r="E251" s="154" t="s">
        <v>5</v>
      </c>
      <c r="F251" s="252" t="s">
        <v>429</v>
      </c>
      <c r="G251" s="253"/>
      <c r="H251" s="253"/>
      <c r="I251" s="253"/>
      <c r="J251" s="153"/>
      <c r="K251" s="155">
        <f>18.55*11.2+2.1*2*10.7+10-4*1.35*2.45-1.4*2.4-1.95*2.45</f>
        <v>241.33249999999998</v>
      </c>
      <c r="L251" s="153"/>
      <c r="M251" s="153"/>
      <c r="N251" s="153"/>
      <c r="O251" s="153"/>
      <c r="P251" s="153"/>
      <c r="Q251" s="153"/>
      <c r="R251" s="156"/>
      <c r="T251" s="157"/>
      <c r="U251" s="153"/>
      <c r="V251" s="153"/>
      <c r="W251" s="153"/>
      <c r="X251" s="153"/>
      <c r="Y251" s="153"/>
      <c r="Z251" s="153"/>
      <c r="AA251" s="158"/>
      <c r="AE251" s="11" t="s">
        <v>91</v>
      </c>
      <c r="AF251" s="11" t="s">
        <v>29</v>
      </c>
      <c r="AG251" s="11" t="s">
        <v>71</v>
      </c>
      <c r="AH251" s="159" t="s">
        <v>124</v>
      </c>
    </row>
    <row r="252" spans="2:48" s="10" customFormat="1" ht="16.5" customHeight="1">
      <c r="B252" s="145"/>
      <c r="C252" s="146"/>
      <c r="D252" s="146"/>
      <c r="E252" s="147" t="s">
        <v>5</v>
      </c>
      <c r="F252" s="259" t="s">
        <v>333</v>
      </c>
      <c r="G252" s="260"/>
      <c r="H252" s="260"/>
      <c r="I252" s="260"/>
      <c r="J252" s="146"/>
      <c r="K252" s="147" t="s">
        <v>5</v>
      </c>
      <c r="L252" s="146"/>
      <c r="M252" s="146"/>
      <c r="N252" s="146"/>
      <c r="O252" s="146"/>
      <c r="P252" s="146"/>
      <c r="Q252" s="146"/>
      <c r="R252" s="148"/>
      <c r="T252" s="149"/>
      <c r="U252" s="146"/>
      <c r="V252" s="146"/>
      <c r="W252" s="146"/>
      <c r="X252" s="146"/>
      <c r="Y252" s="146"/>
      <c r="Z252" s="146"/>
      <c r="AA252" s="150"/>
      <c r="AE252" s="10" t="s">
        <v>73</v>
      </c>
      <c r="AF252" s="10" t="s">
        <v>29</v>
      </c>
      <c r="AG252" s="10" t="s">
        <v>71</v>
      </c>
      <c r="AH252" s="151" t="s">
        <v>124</v>
      </c>
    </row>
    <row r="253" spans="2:48" s="11" customFormat="1" ht="51" customHeight="1">
      <c r="B253" s="152"/>
      <c r="C253" s="153"/>
      <c r="D253" s="153"/>
      <c r="E253" s="154" t="s">
        <v>5</v>
      </c>
      <c r="F253" s="252" t="s">
        <v>436</v>
      </c>
      <c r="G253" s="253"/>
      <c r="H253" s="253"/>
      <c r="I253" s="253"/>
      <c r="J253" s="153"/>
      <c r="K253" s="155">
        <f>5*5.2+3.82*10.7+8.7*4.4+3.8*10.7+3.9*10.7+4.18*10.7+4.91*10.7+7.3*4.5-3*1.35*2.2-2*1.15*2.2-1.55*2.45-1.35*2.5-3*1.35*2.45-2*1.15*2.2-1.3*2.45</f>
        <v>278.34699999999992</v>
      </c>
      <c r="L253" s="153"/>
      <c r="M253" s="153"/>
      <c r="N253" s="153"/>
      <c r="O253" s="153"/>
      <c r="P253" s="153"/>
      <c r="Q253" s="153"/>
      <c r="R253" s="156"/>
      <c r="T253" s="157"/>
      <c r="U253" s="153"/>
      <c r="V253" s="153"/>
      <c r="W253" s="153"/>
      <c r="X253" s="153"/>
      <c r="Y253" s="153"/>
      <c r="Z253" s="153"/>
      <c r="AA253" s="158"/>
      <c r="AE253" s="11" t="s">
        <v>91</v>
      </c>
      <c r="AF253" s="11" t="s">
        <v>29</v>
      </c>
      <c r="AG253" s="11" t="s">
        <v>71</v>
      </c>
      <c r="AH253" s="159" t="s">
        <v>124</v>
      </c>
    </row>
    <row r="254" spans="2:48" s="10" customFormat="1" ht="16.5" customHeight="1">
      <c r="B254" s="145"/>
      <c r="C254" s="146"/>
      <c r="D254" s="146"/>
      <c r="E254" s="147" t="s">
        <v>5</v>
      </c>
      <c r="F254" s="259" t="s">
        <v>334</v>
      </c>
      <c r="G254" s="260"/>
      <c r="H254" s="260"/>
      <c r="I254" s="260"/>
      <c r="J254" s="146"/>
      <c r="K254" s="147" t="s">
        <v>5</v>
      </c>
      <c r="L254" s="146"/>
      <c r="M254" s="146"/>
      <c r="N254" s="146"/>
      <c r="O254" s="146"/>
      <c r="P254" s="146"/>
      <c r="Q254" s="146"/>
      <c r="R254" s="148"/>
      <c r="T254" s="149"/>
      <c r="U254" s="146"/>
      <c r="V254" s="146"/>
      <c r="W254" s="146"/>
      <c r="X254" s="146"/>
      <c r="Y254" s="146"/>
      <c r="Z254" s="146"/>
      <c r="AA254" s="150"/>
      <c r="AE254" s="10" t="s">
        <v>73</v>
      </c>
      <c r="AF254" s="10" t="s">
        <v>29</v>
      </c>
      <c r="AG254" s="10" t="s">
        <v>71</v>
      </c>
      <c r="AH254" s="151" t="s">
        <v>124</v>
      </c>
    </row>
    <row r="255" spans="2:48" s="11" customFormat="1" ht="51" customHeight="1">
      <c r="B255" s="152"/>
      <c r="C255" s="153"/>
      <c r="D255" s="153"/>
      <c r="E255" s="154" t="s">
        <v>5</v>
      </c>
      <c r="F255" s="252" t="s">
        <v>431</v>
      </c>
      <c r="G255" s="253"/>
      <c r="H255" s="253"/>
      <c r="I255" s="253"/>
      <c r="J255" s="153"/>
      <c r="K255" s="155">
        <f>11.33*10.7+7.52*10.7+15.65*10.7+12.36*10.7-6*5+13.55*10.7-5*5.8-1.38*3.5-3*1.35*2.45-13*1.15*2.45-2*1.05*2.45-1.5*2.9-2*1.35*2.45-2*1.05*2.45</f>
        <v>514.75199999999984</v>
      </c>
      <c r="L255" s="153"/>
      <c r="M255" s="153"/>
      <c r="N255" s="153"/>
      <c r="O255" s="153"/>
      <c r="P255" s="153"/>
      <c r="Q255" s="153"/>
      <c r="R255" s="156"/>
      <c r="T255" s="157"/>
      <c r="U255" s="153"/>
      <c r="V255" s="153"/>
      <c r="W255" s="153"/>
      <c r="X255" s="153"/>
      <c r="Y255" s="153"/>
      <c r="Z255" s="153"/>
      <c r="AA255" s="158"/>
      <c r="AE255" s="11" t="s">
        <v>91</v>
      </c>
      <c r="AF255" s="11" t="s">
        <v>29</v>
      </c>
      <c r="AG255" s="11" t="s">
        <v>71</v>
      </c>
      <c r="AH255" s="159" t="s">
        <v>124</v>
      </c>
    </row>
    <row r="256" spans="2:48" s="10" customFormat="1" ht="16.5" customHeight="1">
      <c r="B256" s="145"/>
      <c r="C256" s="146"/>
      <c r="D256" s="146"/>
      <c r="E256" s="147" t="s">
        <v>5</v>
      </c>
      <c r="F256" s="259" t="s">
        <v>335</v>
      </c>
      <c r="G256" s="260"/>
      <c r="H256" s="260"/>
      <c r="I256" s="260"/>
      <c r="J256" s="146"/>
      <c r="K256" s="147" t="s">
        <v>5</v>
      </c>
      <c r="L256" s="146"/>
      <c r="M256" s="146"/>
      <c r="N256" s="146"/>
      <c r="O256" s="146"/>
      <c r="P256" s="146"/>
      <c r="Q256" s="146"/>
      <c r="R256" s="148"/>
      <c r="T256" s="149"/>
      <c r="U256" s="146"/>
      <c r="V256" s="146"/>
      <c r="W256" s="146"/>
      <c r="X256" s="146"/>
      <c r="Y256" s="146"/>
      <c r="Z256" s="146"/>
      <c r="AA256" s="150"/>
      <c r="AE256" s="10" t="s">
        <v>73</v>
      </c>
      <c r="AF256" s="10" t="s">
        <v>29</v>
      </c>
      <c r="AG256" s="10" t="s">
        <v>71</v>
      </c>
      <c r="AH256" s="151" t="s">
        <v>124</v>
      </c>
    </row>
    <row r="257" spans="2:48" s="11" customFormat="1" ht="25.5" customHeight="1">
      <c r="B257" s="152"/>
      <c r="C257" s="153"/>
      <c r="D257" s="153"/>
      <c r="E257" s="154" t="s">
        <v>5</v>
      </c>
      <c r="F257" s="252" t="s">
        <v>433</v>
      </c>
      <c r="G257" s="253"/>
      <c r="H257" s="253"/>
      <c r="I257" s="253"/>
      <c r="J257" s="153"/>
      <c r="K257" s="155">
        <f>40.2*10.7+2*10.7-11*1.55*2.45-1.55*3.75-11*1.35*2.45-1.35*2.75</f>
        <v>363.85999999999996</v>
      </c>
      <c r="L257" s="153"/>
      <c r="M257" s="153"/>
      <c r="N257" s="153"/>
      <c r="O257" s="153"/>
      <c r="P257" s="153"/>
      <c r="Q257" s="153"/>
      <c r="R257" s="156"/>
      <c r="T257" s="157"/>
      <c r="U257" s="153"/>
      <c r="V257" s="153"/>
      <c r="W257" s="153"/>
      <c r="X257" s="153"/>
      <c r="Y257" s="153"/>
      <c r="Z257" s="153"/>
      <c r="AA257" s="158"/>
      <c r="AE257" s="11" t="s">
        <v>91</v>
      </c>
      <c r="AF257" s="11" t="s">
        <v>29</v>
      </c>
      <c r="AG257" s="11" t="s">
        <v>71</v>
      </c>
      <c r="AH257" s="159" t="s">
        <v>124</v>
      </c>
    </row>
    <row r="258" spans="2:48" s="10" customFormat="1" ht="16.5" customHeight="1">
      <c r="B258" s="145"/>
      <c r="C258" s="146"/>
      <c r="D258" s="146"/>
      <c r="E258" s="147" t="s">
        <v>5</v>
      </c>
      <c r="F258" s="259" t="s">
        <v>154</v>
      </c>
      <c r="G258" s="260"/>
      <c r="H258" s="260"/>
      <c r="I258" s="260"/>
      <c r="J258" s="146"/>
      <c r="K258" s="147" t="s">
        <v>5</v>
      </c>
      <c r="L258" s="146"/>
      <c r="M258" s="146"/>
      <c r="N258" s="146"/>
      <c r="O258" s="146"/>
      <c r="P258" s="146"/>
      <c r="Q258" s="146"/>
      <c r="R258" s="148"/>
      <c r="T258" s="149"/>
      <c r="U258" s="146"/>
      <c r="V258" s="146"/>
      <c r="W258" s="146"/>
      <c r="X258" s="146"/>
      <c r="Y258" s="146"/>
      <c r="Z258" s="146"/>
      <c r="AA258" s="150"/>
      <c r="AE258" s="10" t="s">
        <v>73</v>
      </c>
      <c r="AF258" s="10" t="s">
        <v>29</v>
      </c>
      <c r="AG258" s="10" t="s">
        <v>71</v>
      </c>
      <c r="AH258" s="151" t="s">
        <v>124</v>
      </c>
    </row>
    <row r="259" spans="2:48" s="11" customFormat="1" ht="16.5" customHeight="1">
      <c r="B259" s="152"/>
      <c r="C259" s="153"/>
      <c r="D259" s="153"/>
      <c r="E259" s="154" t="s">
        <v>5</v>
      </c>
      <c r="F259" s="252" t="s">
        <v>434</v>
      </c>
      <c r="G259" s="253"/>
      <c r="H259" s="253"/>
      <c r="I259" s="253"/>
      <c r="J259" s="153"/>
      <c r="K259" s="155">
        <f>445.53*0.3</f>
        <v>133.65899999999999</v>
      </c>
      <c r="L259" s="153"/>
      <c r="M259" s="153"/>
      <c r="N259" s="153"/>
      <c r="O259" s="153"/>
      <c r="P259" s="153"/>
      <c r="Q259" s="153"/>
      <c r="R259" s="156"/>
      <c r="T259" s="157"/>
      <c r="U259" s="153"/>
      <c r="V259" s="153"/>
      <c r="W259" s="153"/>
      <c r="X259" s="153"/>
      <c r="Y259" s="153"/>
      <c r="Z259" s="153"/>
      <c r="AA259" s="158"/>
      <c r="AE259" s="11" t="s">
        <v>91</v>
      </c>
      <c r="AF259" s="11" t="s">
        <v>29</v>
      </c>
      <c r="AG259" s="11" t="s">
        <v>71</v>
      </c>
      <c r="AH259" s="159" t="s">
        <v>124</v>
      </c>
    </row>
    <row r="260" spans="2:48" s="12" customFormat="1" ht="16.5" customHeight="1">
      <c r="B260" s="160"/>
      <c r="C260" s="161"/>
      <c r="D260" s="161"/>
      <c r="E260" s="162" t="s">
        <v>5</v>
      </c>
      <c r="F260" s="256" t="s">
        <v>128</v>
      </c>
      <c r="G260" s="257"/>
      <c r="H260" s="257"/>
      <c r="I260" s="257"/>
      <c r="J260" s="161"/>
      <c r="K260" s="163">
        <f>K259+K257+K255+K253+K251</f>
        <v>1531.9504999999997</v>
      </c>
      <c r="L260" s="161"/>
      <c r="M260" s="161"/>
      <c r="N260" s="161"/>
      <c r="O260" s="161"/>
      <c r="P260" s="161"/>
      <c r="Q260" s="161"/>
      <c r="R260" s="164"/>
      <c r="T260" s="165"/>
      <c r="U260" s="161"/>
      <c r="V260" s="161"/>
      <c r="W260" s="161"/>
      <c r="X260" s="161"/>
      <c r="Y260" s="161"/>
      <c r="Z260" s="161"/>
      <c r="AA260" s="166"/>
      <c r="AE260" s="12" t="s">
        <v>127</v>
      </c>
      <c r="AF260" s="12" t="s">
        <v>29</v>
      </c>
      <c r="AG260" s="12" t="s">
        <v>73</v>
      </c>
      <c r="AH260" s="167" t="s">
        <v>124</v>
      </c>
    </row>
    <row r="261" spans="2:48" s="1" customFormat="1" ht="16.5" customHeight="1">
      <c r="B261" s="135"/>
      <c r="C261" s="136" t="s">
        <v>191</v>
      </c>
      <c r="D261" s="136" t="s">
        <v>125</v>
      </c>
      <c r="E261" s="137" t="s">
        <v>248</v>
      </c>
      <c r="F261" s="258" t="s">
        <v>249</v>
      </c>
      <c r="G261" s="258"/>
      <c r="H261" s="258"/>
      <c r="I261" s="258"/>
      <c r="J261" s="138" t="s">
        <v>126</v>
      </c>
      <c r="K261" s="139">
        <f>K273</f>
        <v>1531.9504999999997</v>
      </c>
      <c r="L261" s="251">
        <v>0</v>
      </c>
      <c r="M261" s="251"/>
      <c r="N261" s="251">
        <f>L261*K261</f>
        <v>0</v>
      </c>
      <c r="O261" s="251"/>
      <c r="P261" s="251"/>
      <c r="Q261" s="251"/>
      <c r="R261" s="140"/>
      <c r="T261" s="141" t="s">
        <v>5</v>
      </c>
      <c r="U261" s="42" t="s">
        <v>37</v>
      </c>
      <c r="V261" s="142">
        <v>0.28399999999999997</v>
      </c>
      <c r="W261" s="142">
        <f>V261*K261</f>
        <v>435.07394199999987</v>
      </c>
      <c r="X261" s="142">
        <v>9.7999999999999997E-4</v>
      </c>
      <c r="Y261" s="142">
        <f>X261*K261</f>
        <v>1.5013114899999997</v>
      </c>
      <c r="Z261" s="142">
        <v>0</v>
      </c>
      <c r="AA261" s="143">
        <f>Z261*K261</f>
        <v>0</v>
      </c>
      <c r="AH261" s="20" t="s">
        <v>124</v>
      </c>
      <c r="AN261" s="144">
        <f>IF(U261="základní",N261,0)</f>
        <v>0</v>
      </c>
      <c r="AO261" s="144">
        <f>IF(U261="snížená",N261,0)</f>
        <v>0</v>
      </c>
      <c r="AP261" s="144">
        <f>IF(U261="zákl. přenesená",N261,0)</f>
        <v>0</v>
      </c>
      <c r="AQ261" s="144">
        <f>IF(U261="sníž. přenesená",N261,0)</f>
        <v>0</v>
      </c>
      <c r="AR261" s="144">
        <f>IF(U261="nulová",N261,0)</f>
        <v>0</v>
      </c>
      <c r="AS261" s="20" t="s">
        <v>73</v>
      </c>
      <c r="AT261" s="144">
        <f>ROUND(L261*K261,2)</f>
        <v>0</v>
      </c>
      <c r="AU261" s="20" t="s">
        <v>163</v>
      </c>
      <c r="AV261" s="20" t="s">
        <v>380</v>
      </c>
    </row>
    <row r="262" spans="2:48" s="10" customFormat="1" ht="16.5" customHeight="1">
      <c r="B262" s="145"/>
      <c r="C262" s="146"/>
      <c r="D262" s="146"/>
      <c r="E262" s="147" t="s">
        <v>5</v>
      </c>
      <c r="F262" s="261" t="s">
        <v>250</v>
      </c>
      <c r="G262" s="262"/>
      <c r="H262" s="262"/>
      <c r="I262" s="262"/>
      <c r="J262" s="146"/>
      <c r="K262" s="147" t="s">
        <v>5</v>
      </c>
      <c r="L262" s="146"/>
      <c r="M262" s="146"/>
      <c r="N262" s="146"/>
      <c r="O262" s="146"/>
      <c r="P262" s="146"/>
      <c r="Q262" s="146"/>
      <c r="R262" s="148"/>
      <c r="T262" s="149"/>
      <c r="U262" s="146"/>
      <c r="V262" s="146"/>
      <c r="W262" s="146"/>
      <c r="X262" s="146"/>
      <c r="Y262" s="146"/>
      <c r="Z262" s="146"/>
      <c r="AA262" s="150"/>
      <c r="AE262" s="10" t="s">
        <v>73</v>
      </c>
      <c r="AF262" s="10" t="s">
        <v>29</v>
      </c>
      <c r="AG262" s="10" t="s">
        <v>71</v>
      </c>
      <c r="AH262" s="151" t="s">
        <v>124</v>
      </c>
    </row>
    <row r="263" spans="2:48" s="10" customFormat="1" ht="16.5" customHeight="1">
      <c r="B263" s="145"/>
      <c r="C263" s="146"/>
      <c r="D263" s="146"/>
      <c r="E263" s="147" t="s">
        <v>5</v>
      </c>
      <c r="F263" s="259" t="s">
        <v>332</v>
      </c>
      <c r="G263" s="260"/>
      <c r="H263" s="260"/>
      <c r="I263" s="260"/>
      <c r="J263" s="146"/>
      <c r="K263" s="147" t="s">
        <v>5</v>
      </c>
      <c r="L263" s="146"/>
      <c r="M263" s="146"/>
      <c r="N263" s="146"/>
      <c r="O263" s="146"/>
      <c r="P263" s="146"/>
      <c r="Q263" s="146"/>
      <c r="R263" s="148"/>
      <c r="T263" s="149"/>
      <c r="U263" s="146"/>
      <c r="V263" s="146"/>
      <c r="W263" s="146"/>
      <c r="X263" s="146"/>
      <c r="Y263" s="146"/>
      <c r="Z263" s="146"/>
      <c r="AA263" s="150"/>
      <c r="AE263" s="10" t="s">
        <v>73</v>
      </c>
      <c r="AF263" s="10" t="s">
        <v>29</v>
      </c>
      <c r="AG263" s="10" t="s">
        <v>71</v>
      </c>
      <c r="AH263" s="151" t="s">
        <v>124</v>
      </c>
    </row>
    <row r="264" spans="2:48" s="11" customFormat="1" ht="25.5" customHeight="1">
      <c r="B264" s="152"/>
      <c r="C264" s="153"/>
      <c r="D264" s="153"/>
      <c r="E264" s="154" t="s">
        <v>5</v>
      </c>
      <c r="F264" s="252" t="s">
        <v>429</v>
      </c>
      <c r="G264" s="253"/>
      <c r="H264" s="253"/>
      <c r="I264" s="253"/>
      <c r="J264" s="153"/>
      <c r="K264" s="155">
        <f>18.55*11.2+2.1*2*10.7+10-4*1.35*2.45-1.4*2.4-1.95*2.45</f>
        <v>241.33249999999998</v>
      </c>
      <c r="L264" s="153"/>
      <c r="M264" s="153"/>
      <c r="N264" s="153"/>
      <c r="O264" s="153"/>
      <c r="P264" s="153"/>
      <c r="Q264" s="153"/>
      <c r="R264" s="156"/>
      <c r="T264" s="157"/>
      <c r="U264" s="153"/>
      <c r="V264" s="153"/>
      <c r="W264" s="153"/>
      <c r="X264" s="153"/>
      <c r="Y264" s="153"/>
      <c r="Z264" s="153"/>
      <c r="AA264" s="158"/>
      <c r="AE264" s="11" t="s">
        <v>91</v>
      </c>
      <c r="AF264" s="11" t="s">
        <v>29</v>
      </c>
      <c r="AG264" s="11" t="s">
        <v>71</v>
      </c>
      <c r="AH264" s="159" t="s">
        <v>124</v>
      </c>
    </row>
    <row r="265" spans="2:48" s="10" customFormat="1" ht="16.5" customHeight="1">
      <c r="B265" s="145"/>
      <c r="C265" s="146"/>
      <c r="D265" s="146"/>
      <c r="E265" s="147" t="s">
        <v>5</v>
      </c>
      <c r="F265" s="259" t="s">
        <v>333</v>
      </c>
      <c r="G265" s="260"/>
      <c r="H265" s="260"/>
      <c r="I265" s="260"/>
      <c r="J265" s="146"/>
      <c r="K265" s="147" t="s">
        <v>5</v>
      </c>
      <c r="L265" s="146"/>
      <c r="M265" s="146"/>
      <c r="N265" s="146"/>
      <c r="O265" s="146"/>
      <c r="P265" s="146"/>
      <c r="Q265" s="146"/>
      <c r="R265" s="148"/>
      <c r="T265" s="149"/>
      <c r="U265" s="146"/>
      <c r="V265" s="146"/>
      <c r="W265" s="146"/>
      <c r="X265" s="146"/>
      <c r="Y265" s="146"/>
      <c r="Z265" s="146"/>
      <c r="AA265" s="150"/>
      <c r="AE265" s="10" t="s">
        <v>73</v>
      </c>
      <c r="AF265" s="10" t="s">
        <v>29</v>
      </c>
      <c r="AG265" s="10" t="s">
        <v>71</v>
      </c>
      <c r="AH265" s="151" t="s">
        <v>124</v>
      </c>
    </row>
    <row r="266" spans="2:48" s="11" customFormat="1" ht="51" customHeight="1">
      <c r="B266" s="152"/>
      <c r="C266" s="153"/>
      <c r="D266" s="153"/>
      <c r="E266" s="154" t="s">
        <v>5</v>
      </c>
      <c r="F266" s="252" t="s">
        <v>436</v>
      </c>
      <c r="G266" s="253"/>
      <c r="H266" s="253"/>
      <c r="I266" s="253"/>
      <c r="J266" s="153"/>
      <c r="K266" s="155">
        <f>5*5.2+3.82*10.7+8.7*4.4+3.8*10.7+3.9*10.7+4.18*10.7+4.91*10.7+7.3*4.5-3*1.35*2.2-2*1.15*2.2-1.55*2.45-1.35*2.5-3*1.35*2.45-2*1.15*2.2-1.3*2.45</f>
        <v>278.34699999999992</v>
      </c>
      <c r="L266" s="153"/>
      <c r="M266" s="153"/>
      <c r="N266" s="153"/>
      <c r="O266" s="153"/>
      <c r="P266" s="153"/>
      <c r="Q266" s="153"/>
      <c r="R266" s="156"/>
      <c r="T266" s="157"/>
      <c r="U266" s="153"/>
      <c r="V266" s="153"/>
      <c r="W266" s="153"/>
      <c r="X266" s="153"/>
      <c r="Y266" s="153"/>
      <c r="Z266" s="153"/>
      <c r="AA266" s="158"/>
      <c r="AE266" s="11" t="s">
        <v>91</v>
      </c>
      <c r="AF266" s="11" t="s">
        <v>29</v>
      </c>
      <c r="AG266" s="11" t="s">
        <v>71</v>
      </c>
      <c r="AH266" s="159" t="s">
        <v>124</v>
      </c>
    </row>
    <row r="267" spans="2:48" s="10" customFormat="1" ht="16.5" customHeight="1">
      <c r="B267" s="145"/>
      <c r="C267" s="146"/>
      <c r="D267" s="146"/>
      <c r="E267" s="147" t="s">
        <v>5</v>
      </c>
      <c r="F267" s="259" t="s">
        <v>334</v>
      </c>
      <c r="G267" s="260"/>
      <c r="H267" s="260"/>
      <c r="I267" s="260"/>
      <c r="J267" s="146"/>
      <c r="K267" s="147" t="s">
        <v>5</v>
      </c>
      <c r="L267" s="146"/>
      <c r="M267" s="146"/>
      <c r="N267" s="146"/>
      <c r="O267" s="146"/>
      <c r="P267" s="146"/>
      <c r="Q267" s="146"/>
      <c r="R267" s="148"/>
      <c r="T267" s="149"/>
      <c r="U267" s="146"/>
      <c r="V267" s="146"/>
      <c r="W267" s="146"/>
      <c r="X267" s="146"/>
      <c r="Y267" s="146"/>
      <c r="Z267" s="146"/>
      <c r="AA267" s="150"/>
      <c r="AE267" s="10" t="s">
        <v>73</v>
      </c>
      <c r="AF267" s="10" t="s">
        <v>29</v>
      </c>
      <c r="AG267" s="10" t="s">
        <v>71</v>
      </c>
      <c r="AH267" s="151" t="s">
        <v>124</v>
      </c>
    </row>
    <row r="268" spans="2:48" s="11" customFormat="1" ht="51" customHeight="1">
      <c r="B268" s="152"/>
      <c r="C268" s="153"/>
      <c r="D268" s="153"/>
      <c r="E268" s="154" t="s">
        <v>5</v>
      </c>
      <c r="F268" s="252" t="s">
        <v>431</v>
      </c>
      <c r="G268" s="253"/>
      <c r="H268" s="253"/>
      <c r="I268" s="253"/>
      <c r="J268" s="153"/>
      <c r="K268" s="155">
        <f>11.33*10.7+7.52*10.7+15.65*10.7+12.36*10.7-6*5+13.55*10.7-5*5.8-1.38*3.5-3*1.35*2.45-13*1.15*2.45-2*1.05*2.45-1.5*2.9-2*1.35*2.45-2*1.05*2.45</f>
        <v>514.75199999999984</v>
      </c>
      <c r="L268" s="153"/>
      <c r="M268" s="153"/>
      <c r="N268" s="153"/>
      <c r="O268" s="153"/>
      <c r="P268" s="153"/>
      <c r="Q268" s="153"/>
      <c r="R268" s="156"/>
      <c r="T268" s="157"/>
      <c r="U268" s="153"/>
      <c r="V268" s="153"/>
      <c r="W268" s="153"/>
      <c r="X268" s="153"/>
      <c r="Y268" s="153"/>
      <c r="Z268" s="153"/>
      <c r="AA268" s="158"/>
      <c r="AE268" s="11" t="s">
        <v>91</v>
      </c>
      <c r="AF268" s="11" t="s">
        <v>29</v>
      </c>
      <c r="AG268" s="11" t="s">
        <v>71</v>
      </c>
      <c r="AH268" s="159" t="s">
        <v>124</v>
      </c>
    </row>
    <row r="269" spans="2:48" s="10" customFormat="1" ht="16.5" customHeight="1">
      <c r="B269" s="145"/>
      <c r="C269" s="146"/>
      <c r="D269" s="146"/>
      <c r="E269" s="147" t="s">
        <v>5</v>
      </c>
      <c r="F269" s="259" t="s">
        <v>335</v>
      </c>
      <c r="G269" s="260"/>
      <c r="H269" s="260"/>
      <c r="I269" s="260"/>
      <c r="J269" s="146"/>
      <c r="K269" s="147" t="s">
        <v>5</v>
      </c>
      <c r="L269" s="146"/>
      <c r="M269" s="146"/>
      <c r="N269" s="146"/>
      <c r="O269" s="146"/>
      <c r="P269" s="146"/>
      <c r="Q269" s="146"/>
      <c r="R269" s="148"/>
      <c r="T269" s="149"/>
      <c r="U269" s="146"/>
      <c r="V269" s="146"/>
      <c r="W269" s="146"/>
      <c r="X269" s="146"/>
      <c r="Y269" s="146"/>
      <c r="Z269" s="146"/>
      <c r="AA269" s="150"/>
      <c r="AE269" s="10" t="s">
        <v>73</v>
      </c>
      <c r="AF269" s="10" t="s">
        <v>29</v>
      </c>
      <c r="AG269" s="10" t="s">
        <v>71</v>
      </c>
      <c r="AH269" s="151" t="s">
        <v>124</v>
      </c>
    </row>
    <row r="270" spans="2:48" s="11" customFormat="1" ht="25.5" customHeight="1">
      <c r="B270" s="152"/>
      <c r="C270" s="153"/>
      <c r="D270" s="153"/>
      <c r="E270" s="154" t="s">
        <v>5</v>
      </c>
      <c r="F270" s="252" t="s">
        <v>433</v>
      </c>
      <c r="G270" s="253"/>
      <c r="H270" s="253"/>
      <c r="I270" s="253"/>
      <c r="J270" s="153"/>
      <c r="K270" s="155">
        <f>40.2*10.7+2*10.7-11*1.55*2.45-1.55*3.75-11*1.35*2.45-1.35*2.75</f>
        <v>363.85999999999996</v>
      </c>
      <c r="L270" s="153"/>
      <c r="M270" s="153"/>
      <c r="N270" s="153"/>
      <c r="O270" s="153"/>
      <c r="P270" s="153"/>
      <c r="Q270" s="153"/>
      <c r="R270" s="156"/>
      <c r="T270" s="157"/>
      <c r="U270" s="153"/>
      <c r="V270" s="153"/>
      <c r="W270" s="153"/>
      <c r="X270" s="153"/>
      <c r="Y270" s="153"/>
      <c r="Z270" s="153"/>
      <c r="AA270" s="158"/>
      <c r="AE270" s="11" t="s">
        <v>91</v>
      </c>
      <c r="AF270" s="11" t="s">
        <v>29</v>
      </c>
      <c r="AG270" s="11" t="s">
        <v>71</v>
      </c>
      <c r="AH270" s="159" t="s">
        <v>124</v>
      </c>
    </row>
    <row r="271" spans="2:48" s="10" customFormat="1" ht="16.5" customHeight="1">
      <c r="B271" s="145"/>
      <c r="C271" s="146"/>
      <c r="D271" s="146"/>
      <c r="E271" s="147" t="s">
        <v>5</v>
      </c>
      <c r="F271" s="259" t="s">
        <v>154</v>
      </c>
      <c r="G271" s="260"/>
      <c r="H271" s="260"/>
      <c r="I271" s="260"/>
      <c r="J271" s="146"/>
      <c r="K271" s="147" t="s">
        <v>5</v>
      </c>
      <c r="L271" s="146"/>
      <c r="M271" s="146"/>
      <c r="N271" s="146"/>
      <c r="O271" s="146"/>
      <c r="P271" s="146"/>
      <c r="Q271" s="146"/>
      <c r="R271" s="148"/>
      <c r="T271" s="149"/>
      <c r="U271" s="146"/>
      <c r="V271" s="146"/>
      <c r="W271" s="146"/>
      <c r="X271" s="146"/>
      <c r="Y271" s="146"/>
      <c r="Z271" s="146"/>
      <c r="AA271" s="150"/>
      <c r="AE271" s="10" t="s">
        <v>73</v>
      </c>
      <c r="AF271" s="10" t="s">
        <v>29</v>
      </c>
      <c r="AG271" s="10" t="s">
        <v>71</v>
      </c>
      <c r="AH271" s="151" t="s">
        <v>124</v>
      </c>
    </row>
    <row r="272" spans="2:48" s="11" customFormat="1" ht="16.5" customHeight="1">
      <c r="B272" s="152"/>
      <c r="C272" s="153"/>
      <c r="D272" s="153"/>
      <c r="E272" s="154" t="s">
        <v>5</v>
      </c>
      <c r="F272" s="252" t="s">
        <v>434</v>
      </c>
      <c r="G272" s="253"/>
      <c r="H272" s="253"/>
      <c r="I272" s="253"/>
      <c r="J272" s="153"/>
      <c r="K272" s="155">
        <f>445.53*0.3</f>
        <v>133.65899999999999</v>
      </c>
      <c r="L272" s="153"/>
      <c r="M272" s="153"/>
      <c r="N272" s="153"/>
      <c r="O272" s="153"/>
      <c r="P272" s="153"/>
      <c r="Q272" s="153"/>
      <c r="R272" s="156"/>
      <c r="T272" s="157"/>
      <c r="U272" s="153"/>
      <c r="V272" s="153"/>
      <c r="W272" s="153"/>
      <c r="X272" s="153"/>
      <c r="Y272" s="153"/>
      <c r="Z272" s="153"/>
      <c r="AA272" s="158"/>
      <c r="AE272" s="11" t="s">
        <v>91</v>
      </c>
      <c r="AF272" s="11" t="s">
        <v>29</v>
      </c>
      <c r="AG272" s="11" t="s">
        <v>71</v>
      </c>
      <c r="AH272" s="159" t="s">
        <v>124</v>
      </c>
    </row>
    <row r="273" spans="2:48" s="12" customFormat="1" ht="16.5" customHeight="1">
      <c r="B273" s="160"/>
      <c r="C273" s="161"/>
      <c r="D273" s="161"/>
      <c r="E273" s="162" t="s">
        <v>5</v>
      </c>
      <c r="F273" s="256" t="s">
        <v>128</v>
      </c>
      <c r="G273" s="257"/>
      <c r="H273" s="257"/>
      <c r="I273" s="257"/>
      <c r="J273" s="161"/>
      <c r="K273" s="163">
        <f>K272+K270+K268+K266+K264</f>
        <v>1531.9504999999997</v>
      </c>
      <c r="L273" s="161"/>
      <c r="M273" s="161"/>
      <c r="N273" s="161"/>
      <c r="O273" s="161"/>
      <c r="P273" s="161"/>
      <c r="Q273" s="161"/>
      <c r="R273" s="164"/>
      <c r="T273" s="165"/>
      <c r="U273" s="161"/>
      <c r="V273" s="161"/>
      <c r="W273" s="161"/>
      <c r="X273" s="161"/>
      <c r="Y273" s="161"/>
      <c r="Z273" s="161"/>
      <c r="AA273" s="166"/>
      <c r="AE273" s="12" t="s">
        <v>127</v>
      </c>
      <c r="AF273" s="12" t="s">
        <v>29</v>
      </c>
      <c r="AG273" s="12" t="s">
        <v>73</v>
      </c>
      <c r="AH273" s="167" t="s">
        <v>124</v>
      </c>
    </row>
    <row r="274" spans="2:48" s="1" customFormat="1" ht="51" customHeight="1">
      <c r="B274" s="135"/>
      <c r="C274" s="136" t="s">
        <v>192</v>
      </c>
      <c r="D274" s="136" t="s">
        <v>125</v>
      </c>
      <c r="E274" s="137" t="s">
        <v>251</v>
      </c>
      <c r="F274" s="258" t="s">
        <v>252</v>
      </c>
      <c r="G274" s="258"/>
      <c r="H274" s="258"/>
      <c r="I274" s="258"/>
      <c r="J274" s="138" t="s">
        <v>126</v>
      </c>
      <c r="K274" s="139">
        <f>K273</f>
        <v>1531.9504999999997</v>
      </c>
      <c r="L274" s="251">
        <v>0</v>
      </c>
      <c r="M274" s="251"/>
      <c r="N274" s="251">
        <f>L274*K274</f>
        <v>0</v>
      </c>
      <c r="O274" s="251"/>
      <c r="P274" s="251"/>
      <c r="Q274" s="251"/>
      <c r="R274" s="140"/>
      <c r="T274" s="141" t="s">
        <v>5</v>
      </c>
      <c r="U274" s="169" t="s">
        <v>37</v>
      </c>
      <c r="V274" s="170">
        <v>0</v>
      </c>
      <c r="W274" s="170">
        <f>V274*K274</f>
        <v>0</v>
      </c>
      <c r="X274" s="170">
        <v>2.0000000000000002E-5</v>
      </c>
      <c r="Y274" s="170">
        <f>X274*K274</f>
        <v>3.0639009999999998E-2</v>
      </c>
      <c r="Z274" s="170">
        <v>0</v>
      </c>
      <c r="AA274" s="171">
        <f>Z274*K274</f>
        <v>0</v>
      </c>
      <c r="AH274" s="20" t="s">
        <v>124</v>
      </c>
      <c r="AN274" s="144">
        <f>IF(U274="základní",N274,0)</f>
        <v>0</v>
      </c>
      <c r="AO274" s="144">
        <f>IF(U274="snížená",N274,0)</f>
        <v>0</v>
      </c>
      <c r="AP274" s="144">
        <f>IF(U274="zákl. přenesená",N274,0)</f>
        <v>0</v>
      </c>
      <c r="AQ274" s="144">
        <f>IF(U274="sníž. přenesená",N274,0)</f>
        <v>0</v>
      </c>
      <c r="AR274" s="144">
        <f>IF(U274="nulová",N274,0)</f>
        <v>0</v>
      </c>
      <c r="AS274" s="20" t="s">
        <v>73</v>
      </c>
      <c r="AT274" s="144">
        <f>ROUND(L274*K274,2)</f>
        <v>0</v>
      </c>
      <c r="AU274" s="20" t="s">
        <v>163</v>
      </c>
      <c r="AV274" s="20" t="s">
        <v>381</v>
      </c>
    </row>
    <row r="275" spans="2:48" s="1" customFormat="1" ht="6.95" customHeight="1">
      <c r="B275" s="57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9"/>
    </row>
    <row r="279" spans="2:48">
      <c r="P279" s="177"/>
    </row>
  </sheetData>
  <sheetProtection formatCells="0" selectLockedCells="1" selectUnlockedCells="1"/>
  <protectedRanges>
    <protectedRange algorithmName="SHA-512" hashValue="LEEOcxsxmcuzSg5197lLQ/al8LcOGC0f6tEgM6EE/C584P2XfV1x7KrDqpjI4UmzkDrE7SO1bq8szPw600iuag==" saltValue="a/tpMjKMAqZwBeawvAZ3gw==" spinCount="100000" sqref="L121:M134" name="Oblast1"/>
  </protectedRanges>
  <customSheetViews>
    <customSheetView guid="{182649BD-95A6-4BAE-AF43-DC5E29303FC2}" showGridLines="0" fitToPage="1" hiddenRows="1" hiddenColumns="1">
      <pane ySplit="1" topLeftCell="A115" activePane="bottomLeft" state="frozen"/>
      <selection pane="bottomLeft" activeCell="L121" sqref="L121:M121"/>
      <pageMargins left="0.58333330000000005" right="0.58333330000000005" top="0.5" bottom="0.46666669999999999" header="0" footer="0"/>
      <pageSetup paperSize="9" fitToHeight="100" orientation="portrait" blackAndWhite="1" r:id="rId1"/>
      <headerFooter>
        <oddFooter>&amp;CStrana &amp;P z &amp;N</oddFooter>
      </headerFooter>
    </customSheetView>
  </customSheetViews>
  <mergeCells count="278">
    <mergeCell ref="S2:AC2"/>
    <mergeCell ref="C2:Q2"/>
    <mergeCell ref="L274:M274"/>
    <mergeCell ref="N274:Q274"/>
    <mergeCell ref="F211:I211"/>
    <mergeCell ref="F212:I212"/>
    <mergeCell ref="F271:I271"/>
    <mergeCell ref="F268:I268"/>
    <mergeCell ref="F269:I269"/>
    <mergeCell ref="F270:I270"/>
    <mergeCell ref="F272:I272"/>
    <mergeCell ref="F273:I273"/>
    <mergeCell ref="F274:I274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N221:Q221"/>
    <mergeCell ref="F225:I225"/>
    <mergeCell ref="F228:I228"/>
    <mergeCell ref="F226:I226"/>
    <mergeCell ref="L226:M226"/>
    <mergeCell ref="N226:Q226"/>
    <mergeCell ref="L228:M228"/>
    <mergeCell ref="N228:Q228"/>
    <mergeCell ref="N227:Q227"/>
    <mergeCell ref="N229:Q229"/>
    <mergeCell ref="F231:I231"/>
    <mergeCell ref="L231:M231"/>
    <mergeCell ref="N231:Q231"/>
    <mergeCell ref="F232:I232"/>
    <mergeCell ref="N230:Q230"/>
    <mergeCell ref="F233:I233"/>
    <mergeCell ref="F236:I236"/>
    <mergeCell ref="F234:I234"/>
    <mergeCell ref="F235:I235"/>
    <mergeCell ref="L235:M235"/>
    <mergeCell ref="N235:Q235"/>
    <mergeCell ref="L236:M236"/>
    <mergeCell ref="N236:Q236"/>
    <mergeCell ref="F237:I237"/>
    <mergeCell ref="F241:I241"/>
    <mergeCell ref="F240:I240"/>
    <mergeCell ref="F238:I238"/>
    <mergeCell ref="F239:I239"/>
    <mergeCell ref="L240:M240"/>
    <mergeCell ref="N240:Q240"/>
    <mergeCell ref="L241:M241"/>
    <mergeCell ref="N241:Q241"/>
    <mergeCell ref="F263:I263"/>
    <mergeCell ref="F264:I264"/>
    <mergeCell ref="F265:I265"/>
    <mergeCell ref="F266:I266"/>
    <mergeCell ref="F267:I267"/>
    <mergeCell ref="F251:I251"/>
    <mergeCell ref="F252:I252"/>
    <mergeCell ref="F253:I253"/>
    <mergeCell ref="F254:I254"/>
    <mergeCell ref="F255:I255"/>
    <mergeCell ref="F256:I256"/>
    <mergeCell ref="F257:I257"/>
    <mergeCell ref="F260:I260"/>
    <mergeCell ref="F258:I258"/>
    <mergeCell ref="F259:I259"/>
    <mergeCell ref="O11:P11"/>
    <mergeCell ref="O12:P12"/>
    <mergeCell ref="O14:P14"/>
    <mergeCell ref="O15:P15"/>
    <mergeCell ref="O17:P17"/>
    <mergeCell ref="F261:I261"/>
    <mergeCell ref="L261:M261"/>
    <mergeCell ref="N261:Q261"/>
    <mergeCell ref="F262:I262"/>
    <mergeCell ref="N247:Q247"/>
    <mergeCell ref="L245:M245"/>
    <mergeCell ref="N245:Q245"/>
    <mergeCell ref="F245:I245"/>
    <mergeCell ref="F248:I248"/>
    <mergeCell ref="F246:I246"/>
    <mergeCell ref="L248:M248"/>
    <mergeCell ref="N248:Q248"/>
    <mergeCell ref="F249:I249"/>
    <mergeCell ref="F250:I250"/>
    <mergeCell ref="N242:Q242"/>
    <mergeCell ref="F243:I243"/>
    <mergeCell ref="L243:M243"/>
    <mergeCell ref="N243:Q243"/>
    <mergeCell ref="F244:I244"/>
    <mergeCell ref="C76:Q76"/>
    <mergeCell ref="H1:K1"/>
    <mergeCell ref="M27:P27"/>
    <mergeCell ref="M30:P30"/>
    <mergeCell ref="M28:P28"/>
    <mergeCell ref="H32:J32"/>
    <mergeCell ref="M32:P32"/>
    <mergeCell ref="H33:J33"/>
    <mergeCell ref="M33:P33"/>
    <mergeCell ref="L38:P38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M36:P36"/>
    <mergeCell ref="C4:Q4"/>
    <mergeCell ref="F6:P6"/>
    <mergeCell ref="F7:P7"/>
    <mergeCell ref="O9:P9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F121:I121"/>
    <mergeCell ref="L117:M117"/>
    <mergeCell ref="N117:Q117"/>
    <mergeCell ref="L121:M121"/>
    <mergeCell ref="N121:Q121"/>
    <mergeCell ref="F122:I122"/>
    <mergeCell ref="F123:I123"/>
    <mergeCell ref="F124:I124"/>
    <mergeCell ref="F125:I125"/>
    <mergeCell ref="F126:I126"/>
    <mergeCell ref="F127:I127"/>
    <mergeCell ref="F128:I128"/>
    <mergeCell ref="N118:Q118"/>
    <mergeCell ref="N119:Q119"/>
    <mergeCell ref="N120:Q120"/>
    <mergeCell ref="F129:I129"/>
    <mergeCell ref="F132:I132"/>
    <mergeCell ref="F130:I130"/>
    <mergeCell ref="F131:I131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F140:I140"/>
    <mergeCell ref="F143:I143"/>
    <mergeCell ref="F141:I141"/>
    <mergeCell ref="F142:I142"/>
    <mergeCell ref="F144:I144"/>
    <mergeCell ref="F145:I145"/>
    <mergeCell ref="F146:I146"/>
    <mergeCell ref="F147:I147"/>
    <mergeCell ref="F148:I148"/>
    <mergeCell ref="L148:M148"/>
    <mergeCell ref="N148:Q148"/>
    <mergeCell ref="L152:M152"/>
    <mergeCell ref="N152:Q152"/>
    <mergeCell ref="F149:I149"/>
    <mergeCell ref="F152:I152"/>
    <mergeCell ref="F150:I150"/>
    <mergeCell ref="F151:I151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3:I163"/>
    <mergeCell ref="F161:I161"/>
    <mergeCell ref="F162:I162"/>
    <mergeCell ref="L163:M163"/>
    <mergeCell ref="N163:Q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2:I172"/>
    <mergeCell ref="F170:I170"/>
    <mergeCell ref="F171:I171"/>
    <mergeCell ref="F173:I173"/>
    <mergeCell ref="F174:I174"/>
    <mergeCell ref="F175:I175"/>
    <mergeCell ref="F176:I176"/>
    <mergeCell ref="F177:I177"/>
    <mergeCell ref="F178:I178"/>
    <mergeCell ref="F179:I179"/>
    <mergeCell ref="L179:M179"/>
    <mergeCell ref="F183:I183"/>
    <mergeCell ref="N179:Q179"/>
    <mergeCell ref="F180:I180"/>
    <mergeCell ref="F181:I181"/>
    <mergeCell ref="F182:I182"/>
    <mergeCell ref="F184:I184"/>
    <mergeCell ref="F185:I185"/>
    <mergeCell ref="F186:I186"/>
    <mergeCell ref="F187:I187"/>
    <mergeCell ref="F188:I188"/>
    <mergeCell ref="F189:I189"/>
    <mergeCell ref="F191:I191"/>
    <mergeCell ref="F193:I193"/>
    <mergeCell ref="L191:M191"/>
    <mergeCell ref="N191:Q191"/>
    <mergeCell ref="F192:I192"/>
    <mergeCell ref="N190:Q190"/>
    <mergeCell ref="L205:M205"/>
    <mergeCell ref="N205:Q205"/>
    <mergeCell ref="L206:M206"/>
    <mergeCell ref="N206:Q206"/>
    <mergeCell ref="L207:M207"/>
    <mergeCell ref="N207:Q207"/>
    <mergeCell ref="L208:M208"/>
    <mergeCell ref="N208:Q208"/>
    <mergeCell ref="N209:Q209"/>
    <mergeCell ref="L210:M210"/>
    <mergeCell ref="N210:Q210"/>
    <mergeCell ref="F200:I200"/>
    <mergeCell ref="F203:I203"/>
    <mergeCell ref="F201:I201"/>
    <mergeCell ref="F202:I202"/>
    <mergeCell ref="F194:I194"/>
    <mergeCell ref="F195:I195"/>
    <mergeCell ref="F196:I196"/>
    <mergeCell ref="F197:I197"/>
    <mergeCell ref="F198:I198"/>
    <mergeCell ref="F199:I199"/>
    <mergeCell ref="F204:I204"/>
    <mergeCell ref="F207:I207"/>
    <mergeCell ref="F205:I205"/>
    <mergeCell ref="F206:I206"/>
    <mergeCell ref="F208:I208"/>
    <mergeCell ref="F209:I209"/>
    <mergeCell ref="F210:I210"/>
    <mergeCell ref="L209:M209"/>
    <mergeCell ref="L202:M202"/>
    <mergeCell ref="N202:Q202"/>
    <mergeCell ref="L204:M204"/>
    <mergeCell ref="N204:Q204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portrait" blackAndWhite="1" r:id="rId2"/>
  <headerFooter>
    <oddFooter>&amp;CStrana &amp;P z &amp;N</oddFooter>
  </headerFooter>
  <ignoredErrors>
    <ignoredError sqref="N205:N210 N202 N204 K274 K261 K248 K231 K210 K204:K207 K202 K191 K167 K152 K134 K121 N121 N134 N148 N152 N163 N167 N179 N191 N222:N224 N226 N228 N235:N236 N240:N241 N243 N245 N248 N274 N261 N231" unlockedFormula="1"/>
    <ignoredError sqref="O11" numberStoredAsText="1"/>
    <ignoredError sqref="N242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4"/>
  <sheetViews>
    <sheetView showGridLines="0" workbookViewId="0">
      <pane ySplit="1" topLeftCell="A109" activePane="bottomLeft" state="frozen"/>
      <selection pane="bottomLeft" activeCell="L125" sqref="L125:M12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8.33203125" style="173" customWidth="1"/>
    <col min="31" max="48" width="9.33203125" hidden="1"/>
  </cols>
  <sheetData>
    <row r="1" spans="1:49" ht="21.75" customHeight="1">
      <c r="A1" s="100"/>
      <c r="B1" s="14"/>
      <c r="C1" s="14"/>
      <c r="D1" s="15" t="s">
        <v>1</v>
      </c>
      <c r="E1" s="14"/>
      <c r="F1" s="16" t="s">
        <v>86</v>
      </c>
      <c r="G1" s="16"/>
      <c r="H1" s="285" t="s">
        <v>87</v>
      </c>
      <c r="I1" s="285"/>
      <c r="J1" s="285"/>
      <c r="K1" s="285"/>
      <c r="L1" s="16" t="s">
        <v>88</v>
      </c>
      <c r="M1" s="14"/>
      <c r="N1" s="14"/>
      <c r="O1" s="15" t="s">
        <v>89</v>
      </c>
      <c r="P1" s="14"/>
      <c r="Q1" s="14"/>
      <c r="R1" s="14"/>
      <c r="S1" s="16" t="s">
        <v>90</v>
      </c>
      <c r="T1" s="16"/>
      <c r="U1" s="100"/>
      <c r="V1" s="100"/>
      <c r="W1" s="17"/>
      <c r="X1" s="17"/>
      <c r="Y1" s="17"/>
      <c r="Z1" s="17"/>
      <c r="AA1" s="17"/>
      <c r="AB1" s="17"/>
      <c r="AC1" s="17"/>
      <c r="AD1" s="100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ht="36.950000000000003" customHeight="1">
      <c r="C2" s="245" t="s">
        <v>6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S2" s="243" t="s">
        <v>7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</row>
    <row r="3" spans="1:49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49" ht="36.950000000000003" customHeight="1">
      <c r="B4" s="24"/>
      <c r="C4" s="241" t="s">
        <v>92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5"/>
      <c r="T4" s="19" t="s">
        <v>11</v>
      </c>
    </row>
    <row r="5" spans="1:49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1:49" ht="25.35" customHeight="1">
      <c r="B6" s="24"/>
      <c r="C6" s="26"/>
      <c r="D6" s="30" t="s">
        <v>14</v>
      </c>
      <c r="E6" s="26"/>
      <c r="F6" s="272" t="str">
        <f>'Rekapitulace stavby'!K6</f>
        <v>Oprava fasády objektů nemocnice Horní Beřkovice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6"/>
      <c r="R6" s="25"/>
    </row>
    <row r="7" spans="1:49" s="1" customFormat="1" ht="32.85" customHeight="1">
      <c r="B7" s="33"/>
      <c r="C7" s="34"/>
      <c r="D7" s="29" t="s">
        <v>93</v>
      </c>
      <c r="E7" s="34"/>
      <c r="F7" s="249" t="s">
        <v>382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34"/>
      <c r="R7" s="35"/>
    </row>
    <row r="8" spans="1:49" s="1" customFormat="1" ht="14.45" customHeight="1">
      <c r="B8" s="33"/>
      <c r="C8" s="34"/>
      <c r="D8" s="30" t="s">
        <v>16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17</v>
      </c>
      <c r="N8" s="34"/>
      <c r="O8" s="28" t="s">
        <v>5</v>
      </c>
      <c r="P8" s="34"/>
      <c r="Q8" s="34"/>
      <c r="R8" s="35"/>
    </row>
    <row r="9" spans="1:49" s="1" customFormat="1" ht="14.45" customHeight="1">
      <c r="B9" s="33"/>
      <c r="C9" s="34"/>
      <c r="D9" s="30" t="s">
        <v>18</v>
      </c>
      <c r="E9" s="34"/>
      <c r="F9" s="28" t="s">
        <v>26</v>
      </c>
      <c r="G9" s="34"/>
      <c r="H9" s="34"/>
      <c r="I9" s="34"/>
      <c r="J9" s="34"/>
      <c r="K9" s="34"/>
      <c r="L9" s="34"/>
      <c r="M9" s="30" t="s">
        <v>20</v>
      </c>
      <c r="N9" s="34"/>
      <c r="O9" s="274" t="str">
        <f>'Rekapitulace stavby'!AN8</f>
        <v>01/2020</v>
      </c>
      <c r="P9" s="274"/>
      <c r="Q9" s="34"/>
      <c r="R9" s="35"/>
    </row>
    <row r="10" spans="1:49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49" s="1" customFormat="1" ht="14.45" customHeight="1">
      <c r="B11" s="33"/>
      <c r="C11" s="34"/>
      <c r="D11" s="30" t="s">
        <v>21</v>
      </c>
      <c r="E11" s="34"/>
      <c r="F11" s="34"/>
      <c r="G11" s="34"/>
      <c r="H11" s="34"/>
      <c r="I11" s="34"/>
      <c r="J11" s="34"/>
      <c r="K11" s="34"/>
      <c r="L11" s="34"/>
      <c r="M11" s="30" t="s">
        <v>22</v>
      </c>
      <c r="N11" s="34"/>
      <c r="O11" s="247" t="str">
        <f>IF('Rekapitulace stavby'!AN10="","",'Rekapitulace stavby'!AN10)</f>
        <v>00673552</v>
      </c>
      <c r="P11" s="247"/>
      <c r="Q11" s="34"/>
      <c r="R11" s="35"/>
    </row>
    <row r="12" spans="1:49" s="1" customFormat="1" ht="18" customHeight="1">
      <c r="B12" s="33"/>
      <c r="C12" s="34"/>
      <c r="D12" s="34"/>
      <c r="E12" s="28" t="str">
        <f>IF('Rekapitulace stavby'!E11="","",'Rekapitulace stavby'!E11)</f>
        <v>PSYCHIATRICKÁ NEMOCNICE HORNÍ BEŘKOVICE</v>
      </c>
      <c r="F12" s="34"/>
      <c r="G12" s="34"/>
      <c r="H12" s="34"/>
      <c r="I12" s="34"/>
      <c r="J12" s="34"/>
      <c r="K12" s="34"/>
      <c r="L12" s="34"/>
      <c r="M12" s="30" t="s">
        <v>24</v>
      </c>
      <c r="N12" s="34"/>
      <c r="O12" s="247" t="str">
        <f>IF('Rekapitulace stavby'!AN11="","",'Rekapitulace stavby'!AN11)</f>
        <v/>
      </c>
      <c r="P12" s="247"/>
      <c r="Q12" s="34"/>
      <c r="R12" s="35"/>
    </row>
    <row r="13" spans="1:49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49" s="1" customFormat="1" ht="14.45" customHeight="1">
      <c r="B14" s="33"/>
      <c r="C14" s="34"/>
      <c r="D14" s="30" t="s">
        <v>25</v>
      </c>
      <c r="E14" s="34"/>
      <c r="F14" s="34"/>
      <c r="G14" s="34"/>
      <c r="H14" s="34"/>
      <c r="I14" s="34"/>
      <c r="J14" s="34"/>
      <c r="K14" s="34"/>
      <c r="L14" s="34"/>
      <c r="M14" s="30" t="s">
        <v>22</v>
      </c>
      <c r="N14" s="34"/>
      <c r="O14" s="247" t="str">
        <f>IF('Rekapitulace stavby'!AN13="","",'Rekapitulace stavby'!AN13)</f>
        <v/>
      </c>
      <c r="P14" s="247"/>
      <c r="Q14" s="34"/>
      <c r="R14" s="35"/>
    </row>
    <row r="15" spans="1:49" s="1" customFormat="1" ht="18" customHeight="1">
      <c r="B15" s="33"/>
      <c r="C15" s="34"/>
      <c r="D15" s="34"/>
      <c r="E15" s="28" t="str">
        <f>IF('Rekapitulace stavby'!E14="","",'Rekapitulace stavby'!E14)</f>
        <v xml:space="preserve"> </v>
      </c>
      <c r="F15" s="34"/>
      <c r="G15" s="34"/>
      <c r="H15" s="34"/>
      <c r="I15" s="34"/>
      <c r="J15" s="34"/>
      <c r="K15" s="34"/>
      <c r="L15" s="34"/>
      <c r="M15" s="30" t="s">
        <v>24</v>
      </c>
      <c r="N15" s="34"/>
      <c r="O15" s="247" t="str">
        <f>IF('Rekapitulace stavby'!AN14="","",'Rekapitulace stavby'!AN14)</f>
        <v/>
      </c>
      <c r="P15" s="247"/>
      <c r="Q15" s="34"/>
      <c r="R15" s="35"/>
    </row>
    <row r="16" spans="1:49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29" s="1" customFormat="1" ht="14.45" customHeight="1">
      <c r="B17" s="33"/>
      <c r="C17" s="34"/>
      <c r="D17" s="30" t="s">
        <v>27</v>
      </c>
      <c r="E17" s="34"/>
      <c r="F17" s="34"/>
      <c r="G17" s="34"/>
      <c r="H17" s="34"/>
      <c r="I17" s="34"/>
      <c r="J17" s="34"/>
      <c r="K17" s="34"/>
      <c r="L17" s="34"/>
      <c r="M17" s="30" t="s">
        <v>22</v>
      </c>
      <c r="N17" s="34"/>
      <c r="O17" s="247" t="str">
        <f>IF('Rekapitulace stavby'!AN16="","",'Rekapitulace stavby'!AN16)</f>
        <v/>
      </c>
      <c r="P17" s="247"/>
      <c r="Q17" s="34"/>
      <c r="R17" s="35"/>
    </row>
    <row r="18" spans="2:29" s="1" customFormat="1" ht="18" customHeight="1">
      <c r="B18" s="33"/>
      <c r="C18" s="34"/>
      <c r="D18" s="34"/>
      <c r="E18" s="28" t="str">
        <f>IF('Rekapitulace stavby'!E17="","",'Rekapitulace stavby'!E17)</f>
        <v>Starý a partner s.r.o.</v>
      </c>
      <c r="F18" s="34"/>
      <c r="G18" s="34"/>
      <c r="H18" s="34"/>
      <c r="I18" s="34"/>
      <c r="J18" s="34"/>
      <c r="K18" s="34"/>
      <c r="L18" s="34"/>
      <c r="M18" s="30" t="s">
        <v>24</v>
      </c>
      <c r="N18" s="34"/>
      <c r="O18" s="247" t="str">
        <f>IF('Rekapitulace stavby'!AN17="","",'Rekapitulace stavby'!AN17)</f>
        <v/>
      </c>
      <c r="P18" s="247"/>
      <c r="Q18" s="34"/>
      <c r="R18" s="35"/>
    </row>
    <row r="19" spans="2:29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29" s="1" customFormat="1" ht="14.45" customHeight="1">
      <c r="B20" s="33"/>
      <c r="C20" s="34"/>
      <c r="D20" s="30" t="s">
        <v>30</v>
      </c>
      <c r="E20" s="34"/>
      <c r="F20" s="34"/>
      <c r="G20" s="34"/>
      <c r="H20" s="34"/>
      <c r="I20" s="34"/>
      <c r="J20" s="34"/>
      <c r="K20" s="34"/>
      <c r="L20" s="34"/>
      <c r="M20" s="30" t="s">
        <v>22</v>
      </c>
      <c r="N20" s="34"/>
      <c r="O20" s="247" t="str">
        <f>IF('Rekapitulace stavby'!AN19="","",'Rekapitulace stavby'!AN19)</f>
        <v/>
      </c>
      <c r="P20" s="247"/>
      <c r="Q20" s="34"/>
      <c r="R20" s="35"/>
    </row>
    <row r="21" spans="2:29" s="1" customFormat="1" ht="18" customHeight="1">
      <c r="B21" s="33"/>
      <c r="C21" s="34"/>
      <c r="D21" s="34"/>
      <c r="E21" s="28" t="str">
        <f>IF('Rekapitulace stavby'!E20="","",'Rekapitulace stavby'!E20)</f>
        <v>ww.rozpoct-staveb.cz</v>
      </c>
      <c r="F21" s="34"/>
      <c r="G21" s="34"/>
      <c r="H21" s="34"/>
      <c r="I21" s="34"/>
      <c r="J21" s="34"/>
      <c r="K21" s="34"/>
      <c r="L21" s="34"/>
      <c r="M21" s="30" t="s">
        <v>24</v>
      </c>
      <c r="N21" s="34"/>
      <c r="O21" s="247" t="str">
        <f>IF('Rekapitulace stavby'!AN20="","",'Rekapitulace stavby'!AN20)</f>
        <v/>
      </c>
      <c r="P21" s="247"/>
      <c r="Q21" s="34"/>
      <c r="R21" s="35"/>
    </row>
    <row r="22" spans="2:29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29" s="1" customFormat="1" ht="14.45" customHeight="1">
      <c r="B23" s="33"/>
      <c r="C23" s="34"/>
      <c r="D23" s="30" t="s">
        <v>32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29" s="1" customFormat="1" ht="16.5" customHeight="1">
      <c r="B24" s="33"/>
      <c r="C24" s="34"/>
      <c r="D24" s="34"/>
      <c r="E24" s="250" t="s">
        <v>5</v>
      </c>
      <c r="F24" s="250"/>
      <c r="G24" s="250"/>
      <c r="H24" s="250"/>
      <c r="I24" s="250"/>
      <c r="J24" s="250"/>
      <c r="K24" s="250"/>
      <c r="L24" s="250"/>
      <c r="M24" s="34"/>
      <c r="N24" s="34"/>
      <c r="O24" s="34"/>
      <c r="P24" s="34"/>
      <c r="Q24" s="34"/>
      <c r="R24" s="35"/>
    </row>
    <row r="25" spans="2:29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29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29" s="1" customFormat="1" ht="14.45" customHeight="1">
      <c r="B27" s="33"/>
      <c r="C27" s="34"/>
      <c r="D27" s="101" t="s">
        <v>94</v>
      </c>
      <c r="E27" s="34"/>
      <c r="F27" s="34"/>
      <c r="G27" s="34"/>
      <c r="H27" s="34"/>
      <c r="I27" s="34"/>
      <c r="J27" s="34"/>
      <c r="K27" s="34"/>
      <c r="L27" s="34"/>
      <c r="M27" s="228">
        <f>N88</f>
        <v>0</v>
      </c>
      <c r="N27" s="228"/>
      <c r="O27" s="228"/>
      <c r="P27" s="228"/>
      <c r="Q27" s="34"/>
      <c r="R27" s="35"/>
    </row>
    <row r="28" spans="2:29" s="1" customFormat="1" ht="14.45" customHeight="1">
      <c r="B28" s="33"/>
      <c r="C28" s="34"/>
      <c r="D28" s="32" t="s">
        <v>95</v>
      </c>
      <c r="E28" s="34"/>
      <c r="F28" s="34"/>
      <c r="G28" s="34"/>
      <c r="H28" s="34"/>
      <c r="I28" s="34"/>
      <c r="J28" s="34"/>
      <c r="K28" s="34"/>
      <c r="L28" s="34"/>
      <c r="M28" s="228">
        <f>N94</f>
        <v>0</v>
      </c>
      <c r="N28" s="228"/>
      <c r="O28" s="228"/>
      <c r="P28" s="228"/>
      <c r="Q28" s="34"/>
      <c r="R28" s="35"/>
    </row>
    <row r="29" spans="2:29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29" s="1" customFormat="1" ht="25.35" customHeight="1">
      <c r="B30" s="33"/>
      <c r="C30" s="34"/>
      <c r="D30" s="102" t="s">
        <v>35</v>
      </c>
      <c r="E30" s="34"/>
      <c r="F30" s="34"/>
      <c r="G30" s="34"/>
      <c r="H30" s="34"/>
      <c r="I30" s="34"/>
      <c r="J30" s="34"/>
      <c r="K30" s="34"/>
      <c r="L30" s="34"/>
      <c r="M30" s="286">
        <f>ROUND(M27+M28,2)</f>
        <v>0</v>
      </c>
      <c r="N30" s="271"/>
      <c r="O30" s="271"/>
      <c r="P30" s="271"/>
      <c r="Q30" s="34"/>
      <c r="R30" s="35"/>
      <c r="AC30" s="210">
        <f>M30</f>
        <v>0</v>
      </c>
    </row>
    <row r="31" spans="2:29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29" s="1" customFormat="1" ht="14.45" customHeight="1">
      <c r="B32" s="33"/>
      <c r="C32" s="34"/>
      <c r="D32" s="40" t="s">
        <v>36</v>
      </c>
      <c r="E32" s="40" t="s">
        <v>37</v>
      </c>
      <c r="F32" s="41">
        <v>0.21</v>
      </c>
      <c r="G32" s="103" t="s">
        <v>38</v>
      </c>
      <c r="H32" s="287">
        <f>ROUND((SUM(AN94:AN95)+SUM(AN113:AN153)), 2)</f>
        <v>0</v>
      </c>
      <c r="I32" s="271"/>
      <c r="J32" s="271"/>
      <c r="K32" s="34"/>
      <c r="L32" s="34"/>
      <c r="M32" s="287">
        <f>ROUND(ROUND((SUM(AN94:AN95)+SUM(AN113:AN153)), 2)*F32, 2)</f>
        <v>0</v>
      </c>
      <c r="N32" s="271"/>
      <c r="O32" s="271"/>
      <c r="P32" s="271"/>
      <c r="Q32" s="34"/>
      <c r="R32" s="35"/>
    </row>
    <row r="33" spans="2:18" s="1" customFormat="1" ht="14.45" customHeight="1">
      <c r="B33" s="33"/>
      <c r="C33" s="34"/>
      <c r="D33" s="34"/>
      <c r="E33" s="40" t="s">
        <v>39</v>
      </c>
      <c r="F33" s="41">
        <v>0.15</v>
      </c>
      <c r="G33" s="103" t="s">
        <v>38</v>
      </c>
      <c r="H33" s="287">
        <f>ROUND((SUM(AO94:AO95)+SUM(AO113:AO153)), 2)</f>
        <v>0</v>
      </c>
      <c r="I33" s="271"/>
      <c r="J33" s="271"/>
      <c r="K33" s="34"/>
      <c r="L33" s="34"/>
      <c r="M33" s="287">
        <f>ROUND(ROUND((SUM(AO94:AO95)+SUM(AO113:AO153)), 2)*F33, 2)</f>
        <v>0</v>
      </c>
      <c r="N33" s="271"/>
      <c r="O33" s="271"/>
      <c r="P33" s="271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40</v>
      </c>
      <c r="F34" s="41">
        <v>0.21</v>
      </c>
      <c r="G34" s="103" t="s">
        <v>38</v>
      </c>
      <c r="H34" s="287">
        <f>ROUND((SUM(AP94:AP95)+SUM(AP113:AP153)), 2)</f>
        <v>0</v>
      </c>
      <c r="I34" s="271"/>
      <c r="J34" s="271"/>
      <c r="K34" s="34"/>
      <c r="L34" s="34"/>
      <c r="M34" s="287">
        <v>0</v>
      </c>
      <c r="N34" s="271"/>
      <c r="O34" s="271"/>
      <c r="P34" s="271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41</v>
      </c>
      <c r="F35" s="41">
        <v>0.15</v>
      </c>
      <c r="G35" s="103" t="s">
        <v>38</v>
      </c>
      <c r="H35" s="287">
        <f>ROUND((SUM(AQ94:AQ95)+SUM(AQ113:AQ153)), 2)</f>
        <v>0</v>
      </c>
      <c r="I35" s="271"/>
      <c r="J35" s="271"/>
      <c r="K35" s="34"/>
      <c r="L35" s="34"/>
      <c r="M35" s="287">
        <v>0</v>
      </c>
      <c r="N35" s="271"/>
      <c r="O35" s="271"/>
      <c r="P35" s="271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42</v>
      </c>
      <c r="F36" s="41">
        <v>0</v>
      </c>
      <c r="G36" s="103" t="s">
        <v>38</v>
      </c>
      <c r="H36" s="287">
        <f>ROUND((SUM(AR94:AR95)+SUM(AR113:AR153)), 2)</f>
        <v>0</v>
      </c>
      <c r="I36" s="271"/>
      <c r="J36" s="271"/>
      <c r="K36" s="34"/>
      <c r="L36" s="34"/>
      <c r="M36" s="287">
        <v>0</v>
      </c>
      <c r="N36" s="271"/>
      <c r="O36" s="271"/>
      <c r="P36" s="271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99"/>
      <c r="D38" s="104" t="s">
        <v>43</v>
      </c>
      <c r="E38" s="73"/>
      <c r="F38" s="73"/>
      <c r="G38" s="105" t="s">
        <v>44</v>
      </c>
      <c r="H38" s="106" t="s">
        <v>45</v>
      </c>
      <c r="I38" s="73"/>
      <c r="J38" s="73"/>
      <c r="K38" s="73"/>
      <c r="L38" s="288">
        <f>SUM(M30:M36)</f>
        <v>0</v>
      </c>
      <c r="M38" s="288"/>
      <c r="N38" s="288"/>
      <c r="O38" s="288"/>
      <c r="P38" s="289"/>
      <c r="Q38" s="99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46</v>
      </c>
      <c r="E50" s="49"/>
      <c r="F50" s="49"/>
      <c r="G50" s="49"/>
      <c r="H50" s="50"/>
      <c r="I50" s="34"/>
      <c r="J50" s="48" t="s">
        <v>47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48</v>
      </c>
      <c r="E59" s="54"/>
      <c r="F59" s="54"/>
      <c r="G59" s="55" t="s">
        <v>49</v>
      </c>
      <c r="H59" s="56"/>
      <c r="I59" s="34"/>
      <c r="J59" s="53" t="s">
        <v>48</v>
      </c>
      <c r="K59" s="54"/>
      <c r="L59" s="54"/>
      <c r="M59" s="54"/>
      <c r="N59" s="55" t="s">
        <v>49</v>
      </c>
      <c r="O59" s="54"/>
      <c r="P59" s="56"/>
      <c r="Q59" s="34"/>
      <c r="R59" s="35"/>
    </row>
    <row r="60" spans="2:18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50</v>
      </c>
      <c r="E61" s="49"/>
      <c r="F61" s="49"/>
      <c r="G61" s="49"/>
      <c r="H61" s="50"/>
      <c r="I61" s="34"/>
      <c r="J61" s="48" t="s">
        <v>51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48</v>
      </c>
      <c r="E70" s="54"/>
      <c r="F70" s="54"/>
      <c r="G70" s="55" t="s">
        <v>49</v>
      </c>
      <c r="H70" s="56"/>
      <c r="I70" s="34"/>
      <c r="J70" s="53" t="s">
        <v>48</v>
      </c>
      <c r="K70" s="54"/>
      <c r="L70" s="54"/>
      <c r="M70" s="54"/>
      <c r="N70" s="55" t="s">
        <v>49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241" t="s">
        <v>96</v>
      </c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14</v>
      </c>
      <c r="D78" s="34"/>
      <c r="E78" s="34"/>
      <c r="F78" s="272" t="str">
        <f>F6</f>
        <v>Oprava fasády objektů nemocnice Horní Beřkovice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34"/>
      <c r="R78" s="35"/>
    </row>
    <row r="79" spans="2:18" s="1" customFormat="1" ht="36.950000000000003" customHeight="1">
      <c r="B79" s="33"/>
      <c r="C79" s="67" t="s">
        <v>93</v>
      </c>
      <c r="D79" s="34"/>
      <c r="E79" s="34"/>
      <c r="F79" s="234" t="str">
        <f>F7</f>
        <v>2018/010/e - Elektroinstalace Budova G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21" s="1" customFormat="1" ht="18" customHeight="1">
      <c r="B81" s="33"/>
      <c r="C81" s="30" t="s">
        <v>18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20</v>
      </c>
      <c r="L81" s="34"/>
      <c r="M81" s="274" t="str">
        <f>IF(O9="","",O9)</f>
        <v>01/2020</v>
      </c>
      <c r="N81" s="274"/>
      <c r="O81" s="274"/>
      <c r="P81" s="274"/>
      <c r="Q81" s="34"/>
      <c r="R81" s="35"/>
    </row>
    <row r="82" spans="2:21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21" s="1" customFormat="1" ht="15">
      <c r="B83" s="33"/>
      <c r="C83" s="30" t="s">
        <v>21</v>
      </c>
      <c r="D83" s="34"/>
      <c r="E83" s="34"/>
      <c r="F83" s="28" t="str">
        <f>E12</f>
        <v>PSYCHIATRICKÁ NEMOCNICE HORNÍ BEŘKOVICE</v>
      </c>
      <c r="G83" s="34"/>
      <c r="H83" s="34"/>
      <c r="I83" s="34"/>
      <c r="J83" s="34"/>
      <c r="K83" s="30" t="s">
        <v>27</v>
      </c>
      <c r="L83" s="34"/>
      <c r="M83" s="247" t="str">
        <f>E18</f>
        <v>Starý a partner s.r.o.</v>
      </c>
      <c r="N83" s="247"/>
      <c r="O83" s="247"/>
      <c r="P83" s="247"/>
      <c r="Q83" s="247"/>
      <c r="R83" s="35"/>
    </row>
    <row r="84" spans="2:21" s="1" customFormat="1" ht="14.45" customHeight="1">
      <c r="B84" s="33"/>
      <c r="C84" s="30" t="s">
        <v>25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30</v>
      </c>
      <c r="L84" s="34"/>
      <c r="M84" s="247" t="str">
        <f>E21</f>
        <v>ww.rozpoct-staveb.cz</v>
      </c>
      <c r="N84" s="247"/>
      <c r="O84" s="247"/>
      <c r="P84" s="247"/>
      <c r="Q84" s="247"/>
      <c r="R84" s="35"/>
    </row>
    <row r="85" spans="2:21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21" s="1" customFormat="1" ht="29.25" customHeight="1">
      <c r="B86" s="33"/>
      <c r="C86" s="283" t="s">
        <v>97</v>
      </c>
      <c r="D86" s="284"/>
      <c r="E86" s="284"/>
      <c r="F86" s="284"/>
      <c r="G86" s="284"/>
      <c r="H86" s="99"/>
      <c r="I86" s="99"/>
      <c r="J86" s="99"/>
      <c r="K86" s="99"/>
      <c r="L86" s="99"/>
      <c r="M86" s="99"/>
      <c r="N86" s="283" t="s">
        <v>98</v>
      </c>
      <c r="O86" s="284"/>
      <c r="P86" s="284"/>
      <c r="Q86" s="284"/>
      <c r="R86" s="35"/>
    </row>
    <row r="87" spans="2:21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21" s="1" customFormat="1" ht="29.25" customHeight="1">
      <c r="B88" s="33"/>
      <c r="C88" s="107" t="s">
        <v>99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23">
        <f>N113</f>
        <v>0</v>
      </c>
      <c r="O88" s="281"/>
      <c r="P88" s="281"/>
      <c r="Q88" s="281"/>
      <c r="R88" s="35"/>
    </row>
    <row r="89" spans="2:21" s="6" customFormat="1" ht="24.95" customHeight="1">
      <c r="B89" s="108"/>
      <c r="C89" s="109"/>
      <c r="D89" s="110" t="s">
        <v>253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79">
        <f>N114</f>
        <v>0</v>
      </c>
      <c r="O89" s="280"/>
      <c r="P89" s="280"/>
      <c r="Q89" s="280"/>
      <c r="R89" s="111"/>
    </row>
    <row r="90" spans="2:21" s="7" customFormat="1" ht="19.899999999999999" customHeight="1">
      <c r="B90" s="112"/>
      <c r="C90" s="113"/>
      <c r="D90" s="114" t="s">
        <v>254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77">
        <f>N115</f>
        <v>0</v>
      </c>
      <c r="O90" s="278"/>
      <c r="P90" s="278"/>
      <c r="Q90" s="278"/>
      <c r="R90" s="115"/>
    </row>
    <row r="91" spans="2:21" s="7" customFormat="1" ht="19.899999999999999" customHeight="1">
      <c r="B91" s="112"/>
      <c r="C91" s="113"/>
      <c r="D91" s="114" t="s">
        <v>254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77">
        <f>N133</f>
        <v>0</v>
      </c>
      <c r="O91" s="278"/>
      <c r="P91" s="278"/>
      <c r="Q91" s="278"/>
      <c r="R91" s="115"/>
    </row>
    <row r="92" spans="2:21" s="7" customFormat="1" ht="19.899999999999999" customHeight="1">
      <c r="B92" s="112"/>
      <c r="C92" s="113"/>
      <c r="D92" s="114" t="s">
        <v>254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77">
        <f>N151</f>
        <v>0</v>
      </c>
      <c r="O92" s="278"/>
      <c r="P92" s="278"/>
      <c r="Q92" s="278"/>
      <c r="R92" s="115"/>
    </row>
    <row r="93" spans="2:21" s="1" customFormat="1" ht="21.75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</row>
    <row r="94" spans="2:21" s="1" customFormat="1" ht="29.25" customHeight="1">
      <c r="B94" s="33"/>
      <c r="C94" s="107" t="s">
        <v>109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281">
        <v>0</v>
      </c>
      <c r="O94" s="282"/>
      <c r="P94" s="282"/>
      <c r="Q94" s="282"/>
      <c r="R94" s="35"/>
      <c r="T94" s="116"/>
      <c r="U94" s="117" t="s">
        <v>36</v>
      </c>
    </row>
    <row r="95" spans="2:21" s="1" customFormat="1" ht="18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</row>
    <row r="96" spans="2:21" s="1" customFormat="1" ht="29.25" customHeight="1">
      <c r="B96" s="33"/>
      <c r="C96" s="98" t="s">
        <v>85</v>
      </c>
      <c r="D96" s="99"/>
      <c r="E96" s="99"/>
      <c r="F96" s="99"/>
      <c r="G96" s="99"/>
      <c r="H96" s="99"/>
      <c r="I96" s="99"/>
      <c r="J96" s="99"/>
      <c r="K96" s="99"/>
      <c r="L96" s="227">
        <f>ROUND(SUM(N88+N94),2)</f>
        <v>0</v>
      </c>
      <c r="M96" s="227"/>
      <c r="N96" s="227"/>
      <c r="O96" s="227"/>
      <c r="P96" s="227"/>
      <c r="Q96" s="227"/>
      <c r="R96" s="35"/>
    </row>
    <row r="97" spans="2:27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9"/>
    </row>
    <row r="101" spans="2:27" s="1" customFormat="1" ht="6.95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2"/>
    </row>
    <row r="102" spans="2:27" s="1" customFormat="1" ht="36.950000000000003" customHeight="1">
      <c r="B102" s="33"/>
      <c r="C102" s="241" t="s">
        <v>110</v>
      </c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35"/>
    </row>
    <row r="103" spans="2:27" s="1" customFormat="1" ht="6.95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</row>
    <row r="104" spans="2:27" s="1" customFormat="1" ht="30" customHeight="1">
      <c r="B104" s="33"/>
      <c r="C104" s="30" t="s">
        <v>14</v>
      </c>
      <c r="D104" s="34"/>
      <c r="E104" s="34"/>
      <c r="F104" s="272" t="str">
        <f>F6</f>
        <v>Oprava fasády objektů nemocnice Horní Beřkovice</v>
      </c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34"/>
      <c r="R104" s="35"/>
    </row>
    <row r="105" spans="2:27" s="1" customFormat="1" ht="36.950000000000003" customHeight="1">
      <c r="B105" s="33"/>
      <c r="C105" s="67" t="s">
        <v>93</v>
      </c>
      <c r="D105" s="34"/>
      <c r="E105" s="34"/>
      <c r="F105" s="234" t="str">
        <f>F7</f>
        <v>2018/010/e - Elektroinstalace Budova G</v>
      </c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34"/>
      <c r="R105" s="35"/>
    </row>
    <row r="106" spans="2:27" s="1" customFormat="1" ht="6.95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27" s="1" customFormat="1" ht="18" customHeight="1">
      <c r="B107" s="33"/>
      <c r="C107" s="30" t="s">
        <v>18</v>
      </c>
      <c r="D107" s="34"/>
      <c r="E107" s="34"/>
      <c r="F107" s="28" t="str">
        <f>F9</f>
        <v xml:space="preserve"> </v>
      </c>
      <c r="G107" s="34"/>
      <c r="H107" s="34"/>
      <c r="I107" s="34"/>
      <c r="J107" s="34"/>
      <c r="K107" s="30" t="s">
        <v>20</v>
      </c>
      <c r="L107" s="34"/>
      <c r="M107" s="274" t="str">
        <f>IF(O9="","",O9)</f>
        <v>01/2020</v>
      </c>
      <c r="N107" s="274"/>
      <c r="O107" s="274"/>
      <c r="P107" s="274"/>
      <c r="Q107" s="34"/>
      <c r="R107" s="35"/>
    </row>
    <row r="108" spans="2:27" s="1" customFormat="1" ht="6.9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27" s="1" customFormat="1" ht="15">
      <c r="B109" s="33"/>
      <c r="C109" s="30" t="s">
        <v>21</v>
      </c>
      <c r="D109" s="34"/>
      <c r="E109" s="34"/>
      <c r="F109" s="28" t="str">
        <f>E12</f>
        <v>PSYCHIATRICKÁ NEMOCNICE HORNÍ BEŘKOVICE</v>
      </c>
      <c r="G109" s="34"/>
      <c r="H109" s="34"/>
      <c r="I109" s="34"/>
      <c r="J109" s="34"/>
      <c r="K109" s="30" t="s">
        <v>27</v>
      </c>
      <c r="L109" s="34"/>
      <c r="M109" s="247" t="str">
        <f>E18</f>
        <v>Starý a partner s.r.o.</v>
      </c>
      <c r="N109" s="247"/>
      <c r="O109" s="247"/>
      <c r="P109" s="247"/>
      <c r="Q109" s="247"/>
      <c r="R109" s="35"/>
    </row>
    <row r="110" spans="2:27" s="1" customFormat="1" ht="14.45" customHeight="1">
      <c r="B110" s="33"/>
      <c r="C110" s="30" t="s">
        <v>25</v>
      </c>
      <c r="D110" s="34"/>
      <c r="E110" s="34"/>
      <c r="F110" s="28" t="str">
        <f>IF(E15="","",E15)</f>
        <v xml:space="preserve"> </v>
      </c>
      <c r="G110" s="34"/>
      <c r="H110" s="34"/>
      <c r="I110" s="34"/>
      <c r="J110" s="34"/>
      <c r="K110" s="30" t="s">
        <v>30</v>
      </c>
      <c r="L110" s="34"/>
      <c r="M110" s="247" t="str">
        <f>E21</f>
        <v>ww.rozpoct-staveb.cz</v>
      </c>
      <c r="N110" s="247"/>
      <c r="O110" s="247"/>
      <c r="P110" s="247"/>
      <c r="Q110" s="247"/>
      <c r="R110" s="35"/>
    </row>
    <row r="111" spans="2:27" s="1" customFormat="1" ht="10.3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27" s="8" customFormat="1" ht="29.25" customHeight="1">
      <c r="B112" s="118"/>
      <c r="C112" s="119" t="s">
        <v>111</v>
      </c>
      <c r="D112" s="120" t="s">
        <v>112</v>
      </c>
      <c r="E112" s="120" t="s">
        <v>54</v>
      </c>
      <c r="F112" s="275" t="s">
        <v>113</v>
      </c>
      <c r="G112" s="275"/>
      <c r="H112" s="275"/>
      <c r="I112" s="275"/>
      <c r="J112" s="120" t="s">
        <v>114</v>
      </c>
      <c r="K112" s="120" t="s">
        <v>115</v>
      </c>
      <c r="L112" s="275" t="s">
        <v>116</v>
      </c>
      <c r="M112" s="275"/>
      <c r="N112" s="275" t="s">
        <v>98</v>
      </c>
      <c r="O112" s="275"/>
      <c r="P112" s="275"/>
      <c r="Q112" s="276"/>
      <c r="R112" s="121"/>
      <c r="T112" s="74" t="s">
        <v>117</v>
      </c>
      <c r="U112" s="75" t="s">
        <v>36</v>
      </c>
      <c r="V112" s="75" t="s">
        <v>118</v>
      </c>
      <c r="W112" s="75" t="s">
        <v>119</v>
      </c>
      <c r="X112" s="75" t="s">
        <v>120</v>
      </c>
      <c r="Y112" s="75" t="s">
        <v>121</v>
      </c>
      <c r="Z112" s="75" t="s">
        <v>122</v>
      </c>
      <c r="AA112" s="76" t="s">
        <v>123</v>
      </c>
    </row>
    <row r="113" spans="2:48" s="1" customFormat="1" ht="29.25" customHeight="1">
      <c r="B113" s="33"/>
      <c r="C113" s="78" t="s">
        <v>94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267">
        <f>AT113</f>
        <v>0</v>
      </c>
      <c r="O113" s="268"/>
      <c r="P113" s="268"/>
      <c r="Q113" s="268"/>
      <c r="R113" s="35"/>
      <c r="T113" s="77"/>
      <c r="U113" s="49"/>
      <c r="V113" s="49"/>
      <c r="W113" s="122">
        <f>W114</f>
        <v>0</v>
      </c>
      <c r="X113" s="49"/>
      <c r="Y113" s="122">
        <f>Y114</f>
        <v>0</v>
      </c>
      <c r="Z113" s="49"/>
      <c r="AA113" s="123">
        <f>AA114</f>
        <v>0</v>
      </c>
      <c r="AT113" s="124">
        <f>AT114</f>
        <v>0</v>
      </c>
    </row>
    <row r="114" spans="2:48" s="9" customFormat="1" ht="37.35" customHeight="1">
      <c r="B114" s="125"/>
      <c r="C114" s="126"/>
      <c r="D114" s="127" t="s">
        <v>253</v>
      </c>
      <c r="E114" s="127"/>
      <c r="F114" s="127"/>
      <c r="G114" s="127"/>
      <c r="H114" s="127"/>
      <c r="I114" s="127"/>
      <c r="J114" s="127"/>
      <c r="K114" s="127"/>
      <c r="L114" s="127"/>
      <c r="M114" s="127"/>
      <c r="N114" s="299">
        <f>AT114</f>
        <v>0</v>
      </c>
      <c r="O114" s="279"/>
      <c r="P114" s="279"/>
      <c r="Q114" s="279"/>
      <c r="R114" s="128"/>
      <c r="T114" s="129"/>
      <c r="U114" s="126"/>
      <c r="V114" s="126"/>
      <c r="W114" s="130">
        <f>W115+W133+W151</f>
        <v>0</v>
      </c>
      <c r="X114" s="126"/>
      <c r="Y114" s="130">
        <f>Y115+Y133+Y151</f>
        <v>0</v>
      </c>
      <c r="Z114" s="126"/>
      <c r="AA114" s="131">
        <f>AA115+AA133+AA151</f>
        <v>0</v>
      </c>
      <c r="AH114" s="132" t="s">
        <v>124</v>
      </c>
      <c r="AT114" s="133">
        <f>AT115+AT133+AT151</f>
        <v>0</v>
      </c>
    </row>
    <row r="115" spans="2:48" s="9" customFormat="1" ht="19.899999999999999" customHeight="1">
      <c r="B115" s="125"/>
      <c r="C115" s="126"/>
      <c r="D115" s="134" t="s">
        <v>254</v>
      </c>
      <c r="E115" s="134"/>
      <c r="F115" s="134"/>
      <c r="G115" s="134"/>
      <c r="H115" s="134"/>
      <c r="I115" s="134"/>
      <c r="J115" s="134"/>
      <c r="K115" s="134"/>
      <c r="L115" s="134"/>
      <c r="M115" s="134"/>
      <c r="N115" s="263">
        <f>SUM(N116:Q132)</f>
        <v>0</v>
      </c>
      <c r="O115" s="264"/>
      <c r="P115" s="264"/>
      <c r="Q115" s="264"/>
      <c r="R115" s="128"/>
      <c r="T115" s="129"/>
      <c r="U115" s="126"/>
      <c r="V115" s="126"/>
      <c r="W115" s="130">
        <f>SUM(W116:W132)</f>
        <v>0</v>
      </c>
      <c r="X115" s="126"/>
      <c r="Y115" s="130">
        <f>SUM(Y116:Y132)</f>
        <v>0</v>
      </c>
      <c r="Z115" s="126"/>
      <c r="AA115" s="131">
        <f>SUM(AA116:AA132)</f>
        <v>0</v>
      </c>
      <c r="AH115" s="132" t="s">
        <v>124</v>
      </c>
      <c r="AT115" s="133">
        <f>SUM(AT116:AT132)</f>
        <v>0</v>
      </c>
    </row>
    <row r="116" spans="2:48" s="1" customFormat="1" ht="16.5" customHeight="1">
      <c r="B116" s="135"/>
      <c r="C116" s="136" t="s">
        <v>73</v>
      </c>
      <c r="D116" s="136" t="s">
        <v>125</v>
      </c>
      <c r="E116" s="137" t="s">
        <v>255</v>
      </c>
      <c r="F116" s="258" t="s">
        <v>256</v>
      </c>
      <c r="G116" s="258"/>
      <c r="H116" s="258"/>
      <c r="I116" s="258"/>
      <c r="J116" s="138" t="s">
        <v>257</v>
      </c>
      <c r="K116" s="139">
        <v>1</v>
      </c>
      <c r="L116" s="251">
        <v>0</v>
      </c>
      <c r="M116" s="251"/>
      <c r="N116" s="251">
        <f>ROUND(L116*K116,2)</f>
        <v>0</v>
      </c>
      <c r="O116" s="251"/>
      <c r="P116" s="251"/>
      <c r="Q116" s="251"/>
      <c r="R116" s="140"/>
      <c r="T116" s="141" t="s">
        <v>5</v>
      </c>
      <c r="U116" s="42" t="s">
        <v>37</v>
      </c>
      <c r="V116" s="142">
        <v>0</v>
      </c>
      <c r="W116" s="142">
        <f t="shared" ref="W116:W132" si="0">V116*K116</f>
        <v>0</v>
      </c>
      <c r="X116" s="142">
        <v>0</v>
      </c>
      <c r="Y116" s="142">
        <f t="shared" ref="Y116:Y132" si="1">X116*K116</f>
        <v>0</v>
      </c>
      <c r="Z116" s="142">
        <v>0</v>
      </c>
      <c r="AA116" s="143">
        <f t="shared" ref="AA116:AA132" si="2">Z116*K116</f>
        <v>0</v>
      </c>
      <c r="AH116" s="20" t="s">
        <v>124</v>
      </c>
      <c r="AN116" s="144">
        <f t="shared" ref="AN116:AN132" si="3">IF(U116="základní",N116,0)</f>
        <v>0</v>
      </c>
      <c r="AO116" s="144">
        <f t="shared" ref="AO116:AO132" si="4">IF(U116="snížená",N116,0)</f>
        <v>0</v>
      </c>
      <c r="AP116" s="144">
        <f t="shared" ref="AP116:AP132" si="5">IF(U116="zákl. přenesená",N116,0)</f>
        <v>0</v>
      </c>
      <c r="AQ116" s="144">
        <f t="shared" ref="AQ116:AQ132" si="6">IF(U116="sníž. přenesená",N116,0)</f>
        <v>0</v>
      </c>
      <c r="AR116" s="144">
        <f t="shared" ref="AR116:AR132" si="7">IF(U116="nulová",N116,0)</f>
        <v>0</v>
      </c>
      <c r="AS116" s="20" t="s">
        <v>73</v>
      </c>
      <c r="AT116" s="144">
        <f t="shared" ref="AT116:AT132" si="8">ROUND(L116*K116,2)</f>
        <v>0</v>
      </c>
      <c r="AU116" s="20" t="s">
        <v>127</v>
      </c>
      <c r="AV116" s="20" t="s">
        <v>91</v>
      </c>
    </row>
    <row r="117" spans="2:48" s="1" customFormat="1" ht="16.5" customHeight="1">
      <c r="B117" s="135"/>
      <c r="C117" s="136" t="s">
        <v>91</v>
      </c>
      <c r="D117" s="136" t="s">
        <v>125</v>
      </c>
      <c r="E117" s="137" t="s">
        <v>258</v>
      </c>
      <c r="F117" s="258" t="s">
        <v>259</v>
      </c>
      <c r="G117" s="258"/>
      <c r="H117" s="258"/>
      <c r="I117" s="258"/>
      <c r="J117" s="138" t="s">
        <v>257</v>
      </c>
      <c r="K117" s="139">
        <v>1</v>
      </c>
      <c r="L117" s="251">
        <v>0</v>
      </c>
      <c r="M117" s="251"/>
      <c r="N117" s="251">
        <f t="shared" ref="N117:N132" si="9">ROUND(L117*K117,2)</f>
        <v>0</v>
      </c>
      <c r="O117" s="251"/>
      <c r="P117" s="251"/>
      <c r="Q117" s="251"/>
      <c r="R117" s="140"/>
      <c r="T117" s="141" t="s">
        <v>5</v>
      </c>
      <c r="U117" s="42" t="s">
        <v>37</v>
      </c>
      <c r="V117" s="142">
        <v>0</v>
      </c>
      <c r="W117" s="142">
        <f t="shared" si="0"/>
        <v>0</v>
      </c>
      <c r="X117" s="142">
        <v>0</v>
      </c>
      <c r="Y117" s="142">
        <f t="shared" si="1"/>
        <v>0</v>
      </c>
      <c r="Z117" s="142">
        <v>0</v>
      </c>
      <c r="AA117" s="143">
        <f t="shared" si="2"/>
        <v>0</v>
      </c>
      <c r="AH117" s="20" t="s">
        <v>124</v>
      </c>
      <c r="AN117" s="144">
        <f t="shared" si="3"/>
        <v>0</v>
      </c>
      <c r="AO117" s="144">
        <f t="shared" si="4"/>
        <v>0</v>
      </c>
      <c r="AP117" s="144">
        <f t="shared" si="5"/>
        <v>0</v>
      </c>
      <c r="AQ117" s="144">
        <f t="shared" si="6"/>
        <v>0</v>
      </c>
      <c r="AR117" s="144">
        <f t="shared" si="7"/>
        <v>0</v>
      </c>
      <c r="AS117" s="20" t="s">
        <v>73</v>
      </c>
      <c r="AT117" s="144">
        <f t="shared" si="8"/>
        <v>0</v>
      </c>
      <c r="AU117" s="20" t="s">
        <v>127</v>
      </c>
      <c r="AV117" s="20" t="s">
        <v>127</v>
      </c>
    </row>
    <row r="118" spans="2:48" s="1" customFormat="1" ht="16.5" customHeight="1">
      <c r="B118" s="135"/>
      <c r="C118" s="136" t="s">
        <v>132</v>
      </c>
      <c r="D118" s="136" t="s">
        <v>125</v>
      </c>
      <c r="E118" s="137" t="s">
        <v>260</v>
      </c>
      <c r="F118" s="258" t="s">
        <v>261</v>
      </c>
      <c r="G118" s="258"/>
      <c r="H118" s="258"/>
      <c r="I118" s="258"/>
      <c r="J118" s="138" t="s">
        <v>257</v>
      </c>
      <c r="K118" s="139">
        <v>3</v>
      </c>
      <c r="L118" s="251">
        <v>0</v>
      </c>
      <c r="M118" s="251"/>
      <c r="N118" s="251">
        <f t="shared" si="9"/>
        <v>0</v>
      </c>
      <c r="O118" s="251"/>
      <c r="P118" s="251"/>
      <c r="Q118" s="251"/>
      <c r="R118" s="140"/>
      <c r="T118" s="141" t="s">
        <v>5</v>
      </c>
      <c r="U118" s="42" t="s">
        <v>37</v>
      </c>
      <c r="V118" s="142">
        <v>0</v>
      </c>
      <c r="W118" s="142">
        <f t="shared" si="0"/>
        <v>0</v>
      </c>
      <c r="X118" s="142">
        <v>0</v>
      </c>
      <c r="Y118" s="142">
        <f t="shared" si="1"/>
        <v>0</v>
      </c>
      <c r="Z118" s="142">
        <v>0</v>
      </c>
      <c r="AA118" s="143">
        <f t="shared" si="2"/>
        <v>0</v>
      </c>
      <c r="AH118" s="20" t="s">
        <v>124</v>
      </c>
      <c r="AN118" s="144">
        <f t="shared" si="3"/>
        <v>0</v>
      </c>
      <c r="AO118" s="144">
        <f t="shared" si="4"/>
        <v>0</v>
      </c>
      <c r="AP118" s="144">
        <f t="shared" si="5"/>
        <v>0</v>
      </c>
      <c r="AQ118" s="144">
        <f t="shared" si="6"/>
        <v>0</v>
      </c>
      <c r="AR118" s="144">
        <f t="shared" si="7"/>
        <v>0</v>
      </c>
      <c r="AS118" s="20" t="s">
        <v>73</v>
      </c>
      <c r="AT118" s="144">
        <f t="shared" si="8"/>
        <v>0</v>
      </c>
      <c r="AU118" s="20" t="s">
        <v>127</v>
      </c>
      <c r="AV118" s="20" t="s">
        <v>141</v>
      </c>
    </row>
    <row r="119" spans="2:48" s="1" customFormat="1" ht="16.5" customHeight="1">
      <c r="B119" s="135"/>
      <c r="C119" s="136" t="s">
        <v>127</v>
      </c>
      <c r="D119" s="136" t="s">
        <v>125</v>
      </c>
      <c r="E119" s="137" t="s">
        <v>262</v>
      </c>
      <c r="F119" s="258" t="s">
        <v>263</v>
      </c>
      <c r="G119" s="258"/>
      <c r="H119" s="258"/>
      <c r="I119" s="258"/>
      <c r="J119" s="138" t="s">
        <v>257</v>
      </c>
      <c r="K119" s="139">
        <v>3</v>
      </c>
      <c r="L119" s="251">
        <v>0</v>
      </c>
      <c r="M119" s="251"/>
      <c r="N119" s="251">
        <f t="shared" si="9"/>
        <v>0</v>
      </c>
      <c r="O119" s="251"/>
      <c r="P119" s="251"/>
      <c r="Q119" s="251"/>
      <c r="R119" s="140"/>
      <c r="T119" s="141" t="s">
        <v>5</v>
      </c>
      <c r="U119" s="42" t="s">
        <v>37</v>
      </c>
      <c r="V119" s="142">
        <v>0</v>
      </c>
      <c r="W119" s="142">
        <f t="shared" si="0"/>
        <v>0</v>
      </c>
      <c r="X119" s="142">
        <v>0</v>
      </c>
      <c r="Y119" s="142">
        <f t="shared" si="1"/>
        <v>0</v>
      </c>
      <c r="Z119" s="142">
        <v>0</v>
      </c>
      <c r="AA119" s="143">
        <f t="shared" si="2"/>
        <v>0</v>
      </c>
      <c r="AH119" s="20" t="s">
        <v>124</v>
      </c>
      <c r="AN119" s="144">
        <f t="shared" si="3"/>
        <v>0</v>
      </c>
      <c r="AO119" s="144">
        <f t="shared" si="4"/>
        <v>0</v>
      </c>
      <c r="AP119" s="144">
        <f t="shared" si="5"/>
        <v>0</v>
      </c>
      <c r="AQ119" s="144">
        <f t="shared" si="6"/>
        <v>0</v>
      </c>
      <c r="AR119" s="144">
        <f t="shared" si="7"/>
        <v>0</v>
      </c>
      <c r="AS119" s="20" t="s">
        <v>73</v>
      </c>
      <c r="AT119" s="144">
        <f t="shared" si="8"/>
        <v>0</v>
      </c>
      <c r="AU119" s="20" t="s">
        <v>127</v>
      </c>
      <c r="AV119" s="20" t="s">
        <v>149</v>
      </c>
    </row>
    <row r="120" spans="2:48" s="1" customFormat="1" ht="16.5" customHeight="1">
      <c r="B120" s="135"/>
      <c r="C120" s="136" t="s">
        <v>140</v>
      </c>
      <c r="D120" s="136" t="s">
        <v>125</v>
      </c>
      <c r="E120" s="137" t="s">
        <v>264</v>
      </c>
      <c r="F120" s="258" t="s">
        <v>265</v>
      </c>
      <c r="G120" s="258"/>
      <c r="H120" s="258"/>
      <c r="I120" s="258"/>
      <c r="J120" s="138" t="s">
        <v>257</v>
      </c>
      <c r="K120" s="139">
        <v>15</v>
      </c>
      <c r="L120" s="251">
        <v>0</v>
      </c>
      <c r="M120" s="251"/>
      <c r="N120" s="251">
        <f t="shared" si="9"/>
        <v>0</v>
      </c>
      <c r="O120" s="251"/>
      <c r="P120" s="251"/>
      <c r="Q120" s="251"/>
      <c r="R120" s="140"/>
      <c r="T120" s="141" t="s">
        <v>5</v>
      </c>
      <c r="U120" s="42" t="s">
        <v>37</v>
      </c>
      <c r="V120" s="142">
        <v>0</v>
      </c>
      <c r="W120" s="142">
        <f t="shared" si="0"/>
        <v>0</v>
      </c>
      <c r="X120" s="142">
        <v>0</v>
      </c>
      <c r="Y120" s="142">
        <f t="shared" si="1"/>
        <v>0</v>
      </c>
      <c r="Z120" s="142">
        <v>0</v>
      </c>
      <c r="AA120" s="143">
        <f t="shared" si="2"/>
        <v>0</v>
      </c>
      <c r="AH120" s="20" t="s">
        <v>124</v>
      </c>
      <c r="AN120" s="144">
        <f t="shared" si="3"/>
        <v>0</v>
      </c>
      <c r="AO120" s="144">
        <f t="shared" si="4"/>
        <v>0</v>
      </c>
      <c r="AP120" s="144">
        <f t="shared" si="5"/>
        <v>0</v>
      </c>
      <c r="AQ120" s="144">
        <f t="shared" si="6"/>
        <v>0</v>
      </c>
      <c r="AR120" s="144">
        <f t="shared" si="7"/>
        <v>0</v>
      </c>
      <c r="AS120" s="20" t="s">
        <v>73</v>
      </c>
      <c r="AT120" s="144">
        <f t="shared" si="8"/>
        <v>0</v>
      </c>
      <c r="AU120" s="20" t="s">
        <v>127</v>
      </c>
      <c r="AV120" s="20" t="s">
        <v>151</v>
      </c>
    </row>
    <row r="121" spans="2:48" s="1" customFormat="1" ht="16.5" customHeight="1">
      <c r="B121" s="135"/>
      <c r="C121" s="136" t="s">
        <v>141</v>
      </c>
      <c r="D121" s="136" t="s">
        <v>125</v>
      </c>
      <c r="E121" s="137" t="s">
        <v>266</v>
      </c>
      <c r="F121" s="258" t="s">
        <v>267</v>
      </c>
      <c r="G121" s="258"/>
      <c r="H121" s="258"/>
      <c r="I121" s="258"/>
      <c r="J121" s="138" t="s">
        <v>257</v>
      </c>
      <c r="K121" s="139">
        <v>3</v>
      </c>
      <c r="L121" s="251">
        <v>0</v>
      </c>
      <c r="M121" s="251"/>
      <c r="N121" s="251">
        <f t="shared" si="9"/>
        <v>0</v>
      </c>
      <c r="O121" s="251"/>
      <c r="P121" s="251"/>
      <c r="Q121" s="251"/>
      <c r="R121" s="140"/>
      <c r="T121" s="141" t="s">
        <v>5</v>
      </c>
      <c r="U121" s="42" t="s">
        <v>37</v>
      </c>
      <c r="V121" s="142">
        <v>0</v>
      </c>
      <c r="W121" s="142">
        <f t="shared" si="0"/>
        <v>0</v>
      </c>
      <c r="X121" s="142">
        <v>0</v>
      </c>
      <c r="Y121" s="142">
        <f t="shared" si="1"/>
        <v>0</v>
      </c>
      <c r="Z121" s="142">
        <v>0</v>
      </c>
      <c r="AA121" s="143">
        <f t="shared" si="2"/>
        <v>0</v>
      </c>
      <c r="AH121" s="20" t="s">
        <v>124</v>
      </c>
      <c r="AN121" s="144">
        <f t="shared" si="3"/>
        <v>0</v>
      </c>
      <c r="AO121" s="144">
        <f t="shared" si="4"/>
        <v>0</v>
      </c>
      <c r="AP121" s="144">
        <f t="shared" si="5"/>
        <v>0</v>
      </c>
      <c r="AQ121" s="144">
        <f t="shared" si="6"/>
        <v>0</v>
      </c>
      <c r="AR121" s="144">
        <f t="shared" si="7"/>
        <v>0</v>
      </c>
      <c r="AS121" s="20" t="s">
        <v>73</v>
      </c>
      <c r="AT121" s="144">
        <f t="shared" si="8"/>
        <v>0</v>
      </c>
      <c r="AU121" s="20" t="s">
        <v>127</v>
      </c>
      <c r="AV121" s="20" t="s">
        <v>159</v>
      </c>
    </row>
    <row r="122" spans="2:48" s="1" customFormat="1" ht="16.5" customHeight="1">
      <c r="B122" s="135"/>
      <c r="C122" s="136" t="s">
        <v>145</v>
      </c>
      <c r="D122" s="136" t="s">
        <v>125</v>
      </c>
      <c r="E122" s="137" t="s">
        <v>268</v>
      </c>
      <c r="F122" s="258" t="s">
        <v>269</v>
      </c>
      <c r="G122" s="258"/>
      <c r="H122" s="258"/>
      <c r="I122" s="258"/>
      <c r="J122" s="138" t="s">
        <v>257</v>
      </c>
      <c r="K122" s="139">
        <v>70</v>
      </c>
      <c r="L122" s="251">
        <v>0</v>
      </c>
      <c r="M122" s="251"/>
      <c r="N122" s="251">
        <f t="shared" si="9"/>
        <v>0</v>
      </c>
      <c r="O122" s="251"/>
      <c r="P122" s="251"/>
      <c r="Q122" s="251"/>
      <c r="R122" s="140"/>
      <c r="T122" s="141" t="s">
        <v>5</v>
      </c>
      <c r="U122" s="42" t="s">
        <v>37</v>
      </c>
      <c r="V122" s="142">
        <v>0</v>
      </c>
      <c r="W122" s="142">
        <f t="shared" si="0"/>
        <v>0</v>
      </c>
      <c r="X122" s="142">
        <v>0</v>
      </c>
      <c r="Y122" s="142">
        <f t="shared" si="1"/>
        <v>0</v>
      </c>
      <c r="Z122" s="142">
        <v>0</v>
      </c>
      <c r="AA122" s="143">
        <f t="shared" si="2"/>
        <v>0</v>
      </c>
      <c r="AH122" s="20" t="s">
        <v>124</v>
      </c>
      <c r="AN122" s="144">
        <f t="shared" si="3"/>
        <v>0</v>
      </c>
      <c r="AO122" s="144">
        <f t="shared" si="4"/>
        <v>0</v>
      </c>
      <c r="AP122" s="144">
        <f t="shared" si="5"/>
        <v>0</v>
      </c>
      <c r="AQ122" s="144">
        <f t="shared" si="6"/>
        <v>0</v>
      </c>
      <c r="AR122" s="144">
        <f t="shared" si="7"/>
        <v>0</v>
      </c>
      <c r="AS122" s="20" t="s">
        <v>73</v>
      </c>
      <c r="AT122" s="144">
        <f t="shared" si="8"/>
        <v>0</v>
      </c>
      <c r="AU122" s="20" t="s">
        <v>127</v>
      </c>
      <c r="AV122" s="20" t="s">
        <v>164</v>
      </c>
    </row>
    <row r="123" spans="2:48" s="1" customFormat="1" ht="16.5" customHeight="1">
      <c r="B123" s="135"/>
      <c r="C123" s="136" t="s">
        <v>149</v>
      </c>
      <c r="D123" s="136" t="s">
        <v>125</v>
      </c>
      <c r="E123" s="137" t="s">
        <v>270</v>
      </c>
      <c r="F123" s="258" t="s">
        <v>271</v>
      </c>
      <c r="G123" s="258"/>
      <c r="H123" s="258"/>
      <c r="I123" s="258"/>
      <c r="J123" s="138" t="s">
        <v>257</v>
      </c>
      <c r="K123" s="139">
        <v>15</v>
      </c>
      <c r="L123" s="251">
        <v>0</v>
      </c>
      <c r="M123" s="251"/>
      <c r="N123" s="251">
        <f t="shared" si="9"/>
        <v>0</v>
      </c>
      <c r="O123" s="251"/>
      <c r="P123" s="251"/>
      <c r="Q123" s="251"/>
      <c r="R123" s="140"/>
      <c r="T123" s="141" t="s">
        <v>5</v>
      </c>
      <c r="U123" s="42" t="s">
        <v>37</v>
      </c>
      <c r="V123" s="142">
        <v>0</v>
      </c>
      <c r="W123" s="142">
        <f t="shared" si="0"/>
        <v>0</v>
      </c>
      <c r="X123" s="142">
        <v>0</v>
      </c>
      <c r="Y123" s="142">
        <f t="shared" si="1"/>
        <v>0</v>
      </c>
      <c r="Z123" s="142">
        <v>0</v>
      </c>
      <c r="AA123" s="143">
        <f t="shared" si="2"/>
        <v>0</v>
      </c>
      <c r="AH123" s="20" t="s">
        <v>124</v>
      </c>
      <c r="AN123" s="144">
        <f t="shared" si="3"/>
        <v>0</v>
      </c>
      <c r="AO123" s="144">
        <f t="shared" si="4"/>
        <v>0</v>
      </c>
      <c r="AP123" s="144">
        <f t="shared" si="5"/>
        <v>0</v>
      </c>
      <c r="AQ123" s="144">
        <f t="shared" si="6"/>
        <v>0</v>
      </c>
      <c r="AR123" s="144">
        <f t="shared" si="7"/>
        <v>0</v>
      </c>
      <c r="AS123" s="20" t="s">
        <v>73</v>
      </c>
      <c r="AT123" s="144">
        <f t="shared" si="8"/>
        <v>0</v>
      </c>
      <c r="AU123" s="20" t="s">
        <v>127</v>
      </c>
      <c r="AV123" s="20" t="s">
        <v>163</v>
      </c>
    </row>
    <row r="124" spans="2:48" s="1" customFormat="1" ht="16.5" customHeight="1">
      <c r="B124" s="135"/>
      <c r="C124" s="136" t="s">
        <v>150</v>
      </c>
      <c r="D124" s="136" t="s">
        <v>125</v>
      </c>
      <c r="E124" s="137" t="s">
        <v>272</v>
      </c>
      <c r="F124" s="258" t="s">
        <v>273</v>
      </c>
      <c r="G124" s="258"/>
      <c r="H124" s="258"/>
      <c r="I124" s="258"/>
      <c r="J124" s="138" t="s">
        <v>274</v>
      </c>
      <c r="K124" s="139">
        <v>30</v>
      </c>
      <c r="L124" s="251">
        <v>0</v>
      </c>
      <c r="M124" s="251"/>
      <c r="N124" s="251">
        <f t="shared" si="9"/>
        <v>0</v>
      </c>
      <c r="O124" s="251"/>
      <c r="P124" s="251"/>
      <c r="Q124" s="251"/>
      <c r="R124" s="140"/>
      <c r="T124" s="141" t="s">
        <v>5</v>
      </c>
      <c r="U124" s="42" t="s">
        <v>37</v>
      </c>
      <c r="V124" s="142">
        <v>0</v>
      </c>
      <c r="W124" s="142">
        <f t="shared" si="0"/>
        <v>0</v>
      </c>
      <c r="X124" s="142">
        <v>0</v>
      </c>
      <c r="Y124" s="142">
        <f t="shared" si="1"/>
        <v>0</v>
      </c>
      <c r="Z124" s="142">
        <v>0</v>
      </c>
      <c r="AA124" s="143">
        <f t="shared" si="2"/>
        <v>0</v>
      </c>
      <c r="AH124" s="20" t="s">
        <v>124</v>
      </c>
      <c r="AN124" s="144">
        <f t="shared" si="3"/>
        <v>0</v>
      </c>
      <c r="AO124" s="144">
        <f t="shared" si="4"/>
        <v>0</v>
      </c>
      <c r="AP124" s="144">
        <f t="shared" si="5"/>
        <v>0</v>
      </c>
      <c r="AQ124" s="144">
        <f t="shared" si="6"/>
        <v>0</v>
      </c>
      <c r="AR124" s="144">
        <f t="shared" si="7"/>
        <v>0</v>
      </c>
      <c r="AS124" s="20" t="s">
        <v>73</v>
      </c>
      <c r="AT124" s="144">
        <f t="shared" si="8"/>
        <v>0</v>
      </c>
      <c r="AU124" s="20" t="s">
        <v>127</v>
      </c>
      <c r="AV124" s="20" t="s">
        <v>174</v>
      </c>
    </row>
    <row r="125" spans="2:48" s="1" customFormat="1" ht="16.5" customHeight="1">
      <c r="B125" s="135"/>
      <c r="C125" s="136" t="s">
        <v>151</v>
      </c>
      <c r="D125" s="136" t="s">
        <v>125</v>
      </c>
      <c r="E125" s="137" t="s">
        <v>275</v>
      </c>
      <c r="F125" s="258" t="s">
        <v>276</v>
      </c>
      <c r="G125" s="258"/>
      <c r="H125" s="258"/>
      <c r="I125" s="258"/>
      <c r="J125" s="138" t="s">
        <v>138</v>
      </c>
      <c r="K125" s="139">
        <v>185</v>
      </c>
      <c r="L125" s="251">
        <v>0</v>
      </c>
      <c r="M125" s="251"/>
      <c r="N125" s="251">
        <f t="shared" si="9"/>
        <v>0</v>
      </c>
      <c r="O125" s="251"/>
      <c r="P125" s="251"/>
      <c r="Q125" s="251"/>
      <c r="R125" s="140"/>
      <c r="T125" s="141" t="s">
        <v>5</v>
      </c>
      <c r="U125" s="42" t="s">
        <v>37</v>
      </c>
      <c r="V125" s="142">
        <v>0</v>
      </c>
      <c r="W125" s="142">
        <f t="shared" si="0"/>
        <v>0</v>
      </c>
      <c r="X125" s="142">
        <v>0</v>
      </c>
      <c r="Y125" s="142">
        <f t="shared" si="1"/>
        <v>0</v>
      </c>
      <c r="Z125" s="142">
        <v>0</v>
      </c>
      <c r="AA125" s="143">
        <f t="shared" si="2"/>
        <v>0</v>
      </c>
      <c r="AH125" s="20" t="s">
        <v>124</v>
      </c>
      <c r="AN125" s="144">
        <f t="shared" si="3"/>
        <v>0</v>
      </c>
      <c r="AO125" s="144">
        <f t="shared" si="4"/>
        <v>0</v>
      </c>
      <c r="AP125" s="144">
        <f t="shared" si="5"/>
        <v>0</v>
      </c>
      <c r="AQ125" s="144">
        <f t="shared" si="6"/>
        <v>0</v>
      </c>
      <c r="AR125" s="144">
        <f t="shared" si="7"/>
        <v>0</v>
      </c>
      <c r="AS125" s="20" t="s">
        <v>73</v>
      </c>
      <c r="AT125" s="144">
        <f t="shared" si="8"/>
        <v>0</v>
      </c>
      <c r="AU125" s="20" t="s">
        <v>127</v>
      </c>
      <c r="AV125" s="20" t="s">
        <v>178</v>
      </c>
    </row>
    <row r="126" spans="2:48" s="1" customFormat="1" ht="16.5" customHeight="1">
      <c r="B126" s="135"/>
      <c r="C126" s="136" t="s">
        <v>155</v>
      </c>
      <c r="D126" s="136" t="s">
        <v>125</v>
      </c>
      <c r="E126" s="137" t="s">
        <v>277</v>
      </c>
      <c r="F126" s="258" t="s">
        <v>278</v>
      </c>
      <c r="G126" s="258"/>
      <c r="H126" s="258"/>
      <c r="I126" s="258"/>
      <c r="J126" s="138" t="s">
        <v>138</v>
      </c>
      <c r="K126" s="139">
        <v>185</v>
      </c>
      <c r="L126" s="251">
        <v>0</v>
      </c>
      <c r="M126" s="251"/>
      <c r="N126" s="251">
        <f t="shared" si="9"/>
        <v>0</v>
      </c>
      <c r="O126" s="251"/>
      <c r="P126" s="251"/>
      <c r="Q126" s="251"/>
      <c r="R126" s="140"/>
      <c r="T126" s="141" t="s">
        <v>5</v>
      </c>
      <c r="U126" s="42" t="s">
        <v>37</v>
      </c>
      <c r="V126" s="142">
        <v>0</v>
      </c>
      <c r="W126" s="142">
        <f t="shared" si="0"/>
        <v>0</v>
      </c>
      <c r="X126" s="142">
        <v>0</v>
      </c>
      <c r="Y126" s="142">
        <f t="shared" si="1"/>
        <v>0</v>
      </c>
      <c r="Z126" s="142">
        <v>0</v>
      </c>
      <c r="AA126" s="143">
        <f t="shared" si="2"/>
        <v>0</v>
      </c>
      <c r="AH126" s="20" t="s">
        <v>124</v>
      </c>
      <c r="AN126" s="144">
        <f t="shared" si="3"/>
        <v>0</v>
      </c>
      <c r="AO126" s="144">
        <f t="shared" si="4"/>
        <v>0</v>
      </c>
      <c r="AP126" s="144">
        <f t="shared" si="5"/>
        <v>0</v>
      </c>
      <c r="AQ126" s="144">
        <f t="shared" si="6"/>
        <v>0</v>
      </c>
      <c r="AR126" s="144">
        <f t="shared" si="7"/>
        <v>0</v>
      </c>
      <c r="AS126" s="20" t="s">
        <v>73</v>
      </c>
      <c r="AT126" s="144">
        <f t="shared" si="8"/>
        <v>0</v>
      </c>
      <c r="AU126" s="20" t="s">
        <v>127</v>
      </c>
      <c r="AV126" s="20" t="s">
        <v>184</v>
      </c>
    </row>
    <row r="127" spans="2:48" s="1" customFormat="1" ht="16.5" customHeight="1">
      <c r="B127" s="135"/>
      <c r="C127" s="136" t="s">
        <v>159</v>
      </c>
      <c r="D127" s="136" t="s">
        <v>125</v>
      </c>
      <c r="E127" s="137" t="s">
        <v>279</v>
      </c>
      <c r="F127" s="258" t="s">
        <v>280</v>
      </c>
      <c r="G127" s="258"/>
      <c r="H127" s="258"/>
      <c r="I127" s="258"/>
      <c r="J127" s="138" t="s">
        <v>138</v>
      </c>
      <c r="K127" s="139">
        <v>185</v>
      </c>
      <c r="L127" s="251">
        <v>0</v>
      </c>
      <c r="M127" s="251"/>
      <c r="N127" s="251">
        <f t="shared" si="9"/>
        <v>0</v>
      </c>
      <c r="O127" s="251"/>
      <c r="P127" s="251"/>
      <c r="Q127" s="251"/>
      <c r="R127" s="140"/>
      <c r="T127" s="141" t="s">
        <v>5</v>
      </c>
      <c r="U127" s="42" t="s">
        <v>37</v>
      </c>
      <c r="V127" s="142">
        <v>0</v>
      </c>
      <c r="W127" s="142">
        <f t="shared" si="0"/>
        <v>0</v>
      </c>
      <c r="X127" s="142">
        <v>0</v>
      </c>
      <c r="Y127" s="142">
        <f t="shared" si="1"/>
        <v>0</v>
      </c>
      <c r="Z127" s="142">
        <v>0</v>
      </c>
      <c r="AA127" s="143">
        <f t="shared" si="2"/>
        <v>0</v>
      </c>
      <c r="AH127" s="20" t="s">
        <v>124</v>
      </c>
      <c r="AN127" s="144">
        <f t="shared" si="3"/>
        <v>0</v>
      </c>
      <c r="AO127" s="144">
        <f t="shared" si="4"/>
        <v>0</v>
      </c>
      <c r="AP127" s="144">
        <f t="shared" si="5"/>
        <v>0</v>
      </c>
      <c r="AQ127" s="144">
        <f t="shared" si="6"/>
        <v>0</v>
      </c>
      <c r="AR127" s="144">
        <f t="shared" si="7"/>
        <v>0</v>
      </c>
      <c r="AS127" s="20" t="s">
        <v>73</v>
      </c>
      <c r="AT127" s="144">
        <f t="shared" si="8"/>
        <v>0</v>
      </c>
      <c r="AU127" s="20" t="s">
        <v>127</v>
      </c>
      <c r="AV127" s="20" t="s">
        <v>186</v>
      </c>
    </row>
    <row r="128" spans="2:48" s="1" customFormat="1" ht="16.5" customHeight="1">
      <c r="B128" s="135"/>
      <c r="C128" s="136" t="s">
        <v>160</v>
      </c>
      <c r="D128" s="136" t="s">
        <v>125</v>
      </c>
      <c r="E128" s="137" t="s">
        <v>281</v>
      </c>
      <c r="F128" s="258" t="s">
        <v>282</v>
      </c>
      <c r="G128" s="258"/>
      <c r="H128" s="258"/>
      <c r="I128" s="258"/>
      <c r="J128" s="138" t="s">
        <v>257</v>
      </c>
      <c r="K128" s="139">
        <v>3</v>
      </c>
      <c r="L128" s="251">
        <v>0</v>
      </c>
      <c r="M128" s="251"/>
      <c r="N128" s="251">
        <f t="shared" si="9"/>
        <v>0</v>
      </c>
      <c r="O128" s="251"/>
      <c r="P128" s="251"/>
      <c r="Q128" s="251"/>
      <c r="R128" s="140"/>
      <c r="T128" s="141" t="s">
        <v>5</v>
      </c>
      <c r="U128" s="42" t="s">
        <v>37</v>
      </c>
      <c r="V128" s="142">
        <v>0</v>
      </c>
      <c r="W128" s="142">
        <f t="shared" si="0"/>
        <v>0</v>
      </c>
      <c r="X128" s="142">
        <v>0</v>
      </c>
      <c r="Y128" s="142">
        <f t="shared" si="1"/>
        <v>0</v>
      </c>
      <c r="Z128" s="142">
        <v>0</v>
      </c>
      <c r="AA128" s="143">
        <f t="shared" si="2"/>
        <v>0</v>
      </c>
      <c r="AH128" s="20" t="s">
        <v>124</v>
      </c>
      <c r="AN128" s="144">
        <f t="shared" si="3"/>
        <v>0</v>
      </c>
      <c r="AO128" s="144">
        <f t="shared" si="4"/>
        <v>0</v>
      </c>
      <c r="AP128" s="144">
        <f t="shared" si="5"/>
        <v>0</v>
      </c>
      <c r="AQ128" s="144">
        <f t="shared" si="6"/>
        <v>0</v>
      </c>
      <c r="AR128" s="144">
        <f t="shared" si="7"/>
        <v>0</v>
      </c>
      <c r="AS128" s="20" t="s">
        <v>73</v>
      </c>
      <c r="AT128" s="144">
        <f t="shared" si="8"/>
        <v>0</v>
      </c>
      <c r="AU128" s="20" t="s">
        <v>127</v>
      </c>
      <c r="AV128" s="20" t="s">
        <v>190</v>
      </c>
    </row>
    <row r="129" spans="2:48" s="1" customFormat="1" ht="16.5" customHeight="1">
      <c r="B129" s="135"/>
      <c r="C129" s="136" t="s">
        <v>164</v>
      </c>
      <c r="D129" s="136" t="s">
        <v>125</v>
      </c>
      <c r="E129" s="137" t="s">
        <v>283</v>
      </c>
      <c r="F129" s="258" t="s">
        <v>284</v>
      </c>
      <c r="G129" s="258"/>
      <c r="H129" s="258"/>
      <c r="I129" s="258"/>
      <c r="J129" s="138" t="s">
        <v>257</v>
      </c>
      <c r="K129" s="139">
        <v>3</v>
      </c>
      <c r="L129" s="251">
        <v>0</v>
      </c>
      <c r="M129" s="251"/>
      <c r="N129" s="251">
        <f t="shared" si="9"/>
        <v>0</v>
      </c>
      <c r="O129" s="251"/>
      <c r="P129" s="251"/>
      <c r="Q129" s="251"/>
      <c r="R129" s="140"/>
      <c r="T129" s="141" t="s">
        <v>5</v>
      </c>
      <c r="U129" s="42" t="s">
        <v>37</v>
      </c>
      <c r="V129" s="142">
        <v>0</v>
      </c>
      <c r="W129" s="142">
        <f t="shared" si="0"/>
        <v>0</v>
      </c>
      <c r="X129" s="142">
        <v>0</v>
      </c>
      <c r="Y129" s="142">
        <f t="shared" si="1"/>
        <v>0</v>
      </c>
      <c r="Z129" s="142">
        <v>0</v>
      </c>
      <c r="AA129" s="143">
        <f t="shared" si="2"/>
        <v>0</v>
      </c>
      <c r="AH129" s="20" t="s">
        <v>124</v>
      </c>
      <c r="AN129" s="144">
        <f t="shared" si="3"/>
        <v>0</v>
      </c>
      <c r="AO129" s="144">
        <f t="shared" si="4"/>
        <v>0</v>
      </c>
      <c r="AP129" s="144">
        <f t="shared" si="5"/>
        <v>0</v>
      </c>
      <c r="AQ129" s="144">
        <f t="shared" si="6"/>
        <v>0</v>
      </c>
      <c r="AR129" s="144">
        <f t="shared" si="7"/>
        <v>0</v>
      </c>
      <c r="AS129" s="20" t="s">
        <v>73</v>
      </c>
      <c r="AT129" s="144">
        <f t="shared" si="8"/>
        <v>0</v>
      </c>
      <c r="AU129" s="20" t="s">
        <v>127</v>
      </c>
      <c r="AV129" s="20" t="s">
        <v>192</v>
      </c>
    </row>
    <row r="130" spans="2:48" s="1" customFormat="1" ht="16.5" customHeight="1">
      <c r="B130" s="135"/>
      <c r="C130" s="136" t="s">
        <v>9</v>
      </c>
      <c r="D130" s="136" t="s">
        <v>125</v>
      </c>
      <c r="E130" s="137" t="s">
        <v>285</v>
      </c>
      <c r="F130" s="258" t="s">
        <v>286</v>
      </c>
      <c r="G130" s="258"/>
      <c r="H130" s="258"/>
      <c r="I130" s="258"/>
      <c r="J130" s="138" t="s">
        <v>257</v>
      </c>
      <c r="K130" s="139">
        <v>2</v>
      </c>
      <c r="L130" s="251">
        <v>0</v>
      </c>
      <c r="M130" s="251"/>
      <c r="N130" s="251">
        <f t="shared" si="9"/>
        <v>0</v>
      </c>
      <c r="O130" s="251"/>
      <c r="P130" s="251"/>
      <c r="Q130" s="251"/>
      <c r="R130" s="140"/>
      <c r="T130" s="141" t="s">
        <v>5</v>
      </c>
      <c r="U130" s="42" t="s">
        <v>37</v>
      </c>
      <c r="V130" s="142">
        <v>0</v>
      </c>
      <c r="W130" s="142">
        <f t="shared" si="0"/>
        <v>0</v>
      </c>
      <c r="X130" s="142">
        <v>0</v>
      </c>
      <c r="Y130" s="142">
        <f t="shared" si="1"/>
        <v>0</v>
      </c>
      <c r="Z130" s="142">
        <v>0</v>
      </c>
      <c r="AA130" s="143">
        <f t="shared" si="2"/>
        <v>0</v>
      </c>
      <c r="AH130" s="20" t="s">
        <v>124</v>
      </c>
      <c r="AN130" s="144">
        <f t="shared" si="3"/>
        <v>0</v>
      </c>
      <c r="AO130" s="144">
        <f t="shared" si="4"/>
        <v>0</v>
      </c>
      <c r="AP130" s="144">
        <f t="shared" si="5"/>
        <v>0</v>
      </c>
      <c r="AQ130" s="144">
        <f t="shared" si="6"/>
        <v>0</v>
      </c>
      <c r="AR130" s="144">
        <f t="shared" si="7"/>
        <v>0</v>
      </c>
      <c r="AS130" s="20" t="s">
        <v>73</v>
      </c>
      <c r="AT130" s="144">
        <f t="shared" si="8"/>
        <v>0</v>
      </c>
      <c r="AU130" s="20" t="s">
        <v>127</v>
      </c>
      <c r="AV130" s="20" t="s">
        <v>199</v>
      </c>
    </row>
    <row r="131" spans="2:48" s="1" customFormat="1" ht="16.5" customHeight="1">
      <c r="B131" s="135"/>
      <c r="C131" s="136" t="s">
        <v>163</v>
      </c>
      <c r="D131" s="136" t="s">
        <v>125</v>
      </c>
      <c r="E131" s="137" t="s">
        <v>287</v>
      </c>
      <c r="F131" s="258" t="s">
        <v>288</v>
      </c>
      <c r="G131" s="258"/>
      <c r="H131" s="258"/>
      <c r="I131" s="258"/>
      <c r="J131" s="138" t="s">
        <v>274</v>
      </c>
      <c r="K131" s="139">
        <v>75</v>
      </c>
      <c r="L131" s="251">
        <v>0</v>
      </c>
      <c r="M131" s="251"/>
      <c r="N131" s="251">
        <f t="shared" si="9"/>
        <v>0</v>
      </c>
      <c r="O131" s="251"/>
      <c r="P131" s="251"/>
      <c r="Q131" s="251"/>
      <c r="R131" s="140"/>
      <c r="T131" s="141" t="s">
        <v>5</v>
      </c>
      <c r="U131" s="42" t="s">
        <v>37</v>
      </c>
      <c r="V131" s="142">
        <v>0</v>
      </c>
      <c r="W131" s="142">
        <f t="shared" si="0"/>
        <v>0</v>
      </c>
      <c r="X131" s="142">
        <v>0</v>
      </c>
      <c r="Y131" s="142">
        <f t="shared" si="1"/>
        <v>0</v>
      </c>
      <c r="Z131" s="142">
        <v>0</v>
      </c>
      <c r="AA131" s="143">
        <f t="shared" si="2"/>
        <v>0</v>
      </c>
      <c r="AH131" s="20" t="s">
        <v>124</v>
      </c>
      <c r="AN131" s="144">
        <f t="shared" si="3"/>
        <v>0</v>
      </c>
      <c r="AO131" s="144">
        <f t="shared" si="4"/>
        <v>0</v>
      </c>
      <c r="AP131" s="144">
        <f t="shared" si="5"/>
        <v>0</v>
      </c>
      <c r="AQ131" s="144">
        <f t="shared" si="6"/>
        <v>0</v>
      </c>
      <c r="AR131" s="144">
        <f t="shared" si="7"/>
        <v>0</v>
      </c>
      <c r="AS131" s="20" t="s">
        <v>73</v>
      </c>
      <c r="AT131" s="144">
        <f t="shared" si="8"/>
        <v>0</v>
      </c>
      <c r="AU131" s="20" t="s">
        <v>127</v>
      </c>
      <c r="AV131" s="20" t="s">
        <v>206</v>
      </c>
    </row>
    <row r="132" spans="2:48" s="1" customFormat="1" ht="16.5" customHeight="1">
      <c r="B132" s="135"/>
      <c r="C132" s="136" t="s">
        <v>171</v>
      </c>
      <c r="D132" s="136" t="s">
        <v>125</v>
      </c>
      <c r="E132" s="137" t="s">
        <v>289</v>
      </c>
      <c r="F132" s="258" t="s">
        <v>290</v>
      </c>
      <c r="G132" s="258"/>
      <c r="H132" s="258"/>
      <c r="I132" s="258"/>
      <c r="J132" s="138" t="s">
        <v>257</v>
      </c>
      <c r="K132" s="139">
        <v>1</v>
      </c>
      <c r="L132" s="251">
        <v>0</v>
      </c>
      <c r="M132" s="251"/>
      <c r="N132" s="251">
        <f t="shared" si="9"/>
        <v>0</v>
      </c>
      <c r="O132" s="251"/>
      <c r="P132" s="251"/>
      <c r="Q132" s="251"/>
      <c r="R132" s="140"/>
      <c r="T132" s="141" t="s">
        <v>5</v>
      </c>
      <c r="U132" s="42" t="s">
        <v>37</v>
      </c>
      <c r="V132" s="142">
        <v>0</v>
      </c>
      <c r="W132" s="142">
        <f t="shared" si="0"/>
        <v>0</v>
      </c>
      <c r="X132" s="142">
        <v>0</v>
      </c>
      <c r="Y132" s="142">
        <f t="shared" si="1"/>
        <v>0</v>
      </c>
      <c r="Z132" s="142">
        <v>0</v>
      </c>
      <c r="AA132" s="143">
        <f t="shared" si="2"/>
        <v>0</v>
      </c>
      <c r="AH132" s="20" t="s">
        <v>124</v>
      </c>
      <c r="AN132" s="144">
        <f t="shared" si="3"/>
        <v>0</v>
      </c>
      <c r="AO132" s="144">
        <f t="shared" si="4"/>
        <v>0</v>
      </c>
      <c r="AP132" s="144">
        <f t="shared" si="5"/>
        <v>0</v>
      </c>
      <c r="AQ132" s="144">
        <f t="shared" si="6"/>
        <v>0</v>
      </c>
      <c r="AR132" s="144">
        <f t="shared" si="7"/>
        <v>0</v>
      </c>
      <c r="AS132" s="20" t="s">
        <v>73</v>
      </c>
      <c r="AT132" s="144">
        <f t="shared" si="8"/>
        <v>0</v>
      </c>
      <c r="AU132" s="20" t="s">
        <v>127</v>
      </c>
      <c r="AV132" s="20" t="s">
        <v>210</v>
      </c>
    </row>
    <row r="133" spans="2:48" s="9" customFormat="1" ht="29.85" customHeight="1">
      <c r="B133" s="125"/>
      <c r="C133" s="126"/>
      <c r="D133" s="134" t="s">
        <v>254</v>
      </c>
      <c r="E133" s="134"/>
      <c r="F133" s="134"/>
      <c r="G133" s="134"/>
      <c r="H133" s="134"/>
      <c r="I133" s="134"/>
      <c r="J133" s="134"/>
      <c r="K133" s="134"/>
      <c r="L133" s="134"/>
      <c r="M133" s="134"/>
      <c r="N133" s="294">
        <f>SUM(N134:Q150)</f>
        <v>0</v>
      </c>
      <c r="O133" s="295"/>
      <c r="P133" s="295"/>
      <c r="Q133" s="295"/>
      <c r="R133" s="128"/>
      <c r="T133" s="129"/>
      <c r="U133" s="126"/>
      <c r="V133" s="126"/>
      <c r="W133" s="130">
        <f>SUM(W134:W150)</f>
        <v>0</v>
      </c>
      <c r="X133" s="126"/>
      <c r="Y133" s="130">
        <f>SUM(Y134:Y150)</f>
        <v>0</v>
      </c>
      <c r="Z133" s="126"/>
      <c r="AA133" s="131">
        <f>SUM(AA134:AA150)</f>
        <v>0</v>
      </c>
      <c r="AH133" s="132" t="s">
        <v>124</v>
      </c>
      <c r="AT133" s="133">
        <f>SUM(AT134:AT150)</f>
        <v>0</v>
      </c>
    </row>
    <row r="134" spans="2:48" s="1" customFormat="1" ht="25.5" customHeight="1">
      <c r="B134" s="135"/>
      <c r="C134" s="136" t="s">
        <v>177</v>
      </c>
      <c r="D134" s="136" t="s">
        <v>125</v>
      </c>
      <c r="E134" s="137" t="s">
        <v>291</v>
      </c>
      <c r="F134" s="258" t="s">
        <v>292</v>
      </c>
      <c r="G134" s="258"/>
      <c r="H134" s="258"/>
      <c r="I134" s="258"/>
      <c r="J134" s="138" t="s">
        <v>138</v>
      </c>
      <c r="K134" s="139">
        <v>175</v>
      </c>
      <c r="L134" s="251">
        <v>0</v>
      </c>
      <c r="M134" s="251"/>
      <c r="N134" s="251">
        <f t="shared" ref="N134:N150" si="10">ROUND(L134*K134,2)</f>
        <v>0</v>
      </c>
      <c r="O134" s="251"/>
      <c r="P134" s="251"/>
      <c r="Q134" s="251"/>
      <c r="R134" s="140"/>
      <c r="T134" s="141" t="s">
        <v>5</v>
      </c>
      <c r="U134" s="42" t="s">
        <v>37</v>
      </c>
      <c r="V134" s="142">
        <v>0</v>
      </c>
      <c r="W134" s="142">
        <f t="shared" ref="W134:W150" si="11">V134*K134</f>
        <v>0</v>
      </c>
      <c r="X134" s="142">
        <v>0</v>
      </c>
      <c r="Y134" s="142">
        <f t="shared" ref="Y134:Y150" si="12">X134*K134</f>
        <v>0</v>
      </c>
      <c r="Z134" s="142">
        <v>0</v>
      </c>
      <c r="AA134" s="143">
        <f t="shared" ref="AA134:AA150" si="13">Z134*K134</f>
        <v>0</v>
      </c>
      <c r="AH134" s="20" t="s">
        <v>124</v>
      </c>
      <c r="AN134" s="144">
        <f t="shared" ref="AN134:AN150" si="14">IF(U134="základní",N134,0)</f>
        <v>0</v>
      </c>
      <c r="AO134" s="144">
        <f t="shared" ref="AO134:AO150" si="15">IF(U134="snížená",N134,0)</f>
        <v>0</v>
      </c>
      <c r="AP134" s="144">
        <f t="shared" ref="AP134:AP150" si="16">IF(U134="zákl. přenesená",N134,0)</f>
        <v>0</v>
      </c>
      <c r="AQ134" s="144">
        <f t="shared" ref="AQ134:AQ150" si="17">IF(U134="sníž. přenesená",N134,0)</f>
        <v>0</v>
      </c>
      <c r="AR134" s="144">
        <f t="shared" ref="AR134:AR150" si="18">IF(U134="nulová",N134,0)</f>
        <v>0</v>
      </c>
      <c r="AS134" s="20" t="s">
        <v>73</v>
      </c>
      <c r="AT134" s="144">
        <f t="shared" ref="AT134:AT150" si="19">ROUND(L134*K134,2)</f>
        <v>0</v>
      </c>
      <c r="AU134" s="20" t="s">
        <v>127</v>
      </c>
      <c r="AV134" s="20" t="s">
        <v>212</v>
      </c>
    </row>
    <row r="135" spans="2:48" s="1" customFormat="1" ht="16.5" customHeight="1">
      <c r="B135" s="135"/>
      <c r="C135" s="136" t="s">
        <v>178</v>
      </c>
      <c r="D135" s="136" t="s">
        <v>125</v>
      </c>
      <c r="E135" s="137" t="s">
        <v>293</v>
      </c>
      <c r="F135" s="258" t="s">
        <v>294</v>
      </c>
      <c r="G135" s="258"/>
      <c r="H135" s="258"/>
      <c r="I135" s="258"/>
      <c r="J135" s="138" t="s">
        <v>257</v>
      </c>
      <c r="K135" s="139">
        <v>8</v>
      </c>
      <c r="L135" s="251">
        <v>0</v>
      </c>
      <c r="M135" s="251"/>
      <c r="N135" s="251">
        <f t="shared" si="10"/>
        <v>0</v>
      </c>
      <c r="O135" s="251"/>
      <c r="P135" s="251"/>
      <c r="Q135" s="251"/>
      <c r="R135" s="140"/>
      <c r="T135" s="141" t="s">
        <v>5</v>
      </c>
      <c r="U135" s="42" t="s">
        <v>37</v>
      </c>
      <c r="V135" s="142">
        <v>0</v>
      </c>
      <c r="W135" s="142">
        <f t="shared" si="11"/>
        <v>0</v>
      </c>
      <c r="X135" s="142">
        <v>0</v>
      </c>
      <c r="Y135" s="142">
        <f t="shared" si="12"/>
        <v>0</v>
      </c>
      <c r="Z135" s="142">
        <v>0</v>
      </c>
      <c r="AA135" s="143">
        <f t="shared" si="13"/>
        <v>0</v>
      </c>
      <c r="AH135" s="20" t="s">
        <v>124</v>
      </c>
      <c r="AN135" s="144">
        <f t="shared" si="14"/>
        <v>0</v>
      </c>
      <c r="AO135" s="144">
        <f t="shared" si="15"/>
        <v>0</v>
      </c>
      <c r="AP135" s="144">
        <f t="shared" si="16"/>
        <v>0</v>
      </c>
      <c r="AQ135" s="144">
        <f t="shared" si="17"/>
        <v>0</v>
      </c>
      <c r="AR135" s="144">
        <f t="shared" si="18"/>
        <v>0</v>
      </c>
      <c r="AS135" s="20" t="s">
        <v>73</v>
      </c>
      <c r="AT135" s="144">
        <f t="shared" si="19"/>
        <v>0</v>
      </c>
      <c r="AU135" s="20" t="s">
        <v>127</v>
      </c>
      <c r="AV135" s="20" t="s">
        <v>213</v>
      </c>
    </row>
    <row r="136" spans="2:48" s="1" customFormat="1" ht="16.5" customHeight="1">
      <c r="B136" s="135"/>
      <c r="C136" s="136" t="s">
        <v>8</v>
      </c>
      <c r="D136" s="136" t="s">
        <v>125</v>
      </c>
      <c r="E136" s="137" t="s">
        <v>295</v>
      </c>
      <c r="F136" s="258" t="s">
        <v>296</v>
      </c>
      <c r="G136" s="258"/>
      <c r="H136" s="258"/>
      <c r="I136" s="258"/>
      <c r="J136" s="138" t="s">
        <v>257</v>
      </c>
      <c r="K136" s="139">
        <v>8</v>
      </c>
      <c r="L136" s="251">
        <v>0</v>
      </c>
      <c r="M136" s="251"/>
      <c r="N136" s="251">
        <f t="shared" si="10"/>
        <v>0</v>
      </c>
      <c r="O136" s="251"/>
      <c r="P136" s="251"/>
      <c r="Q136" s="251"/>
      <c r="R136" s="140"/>
      <c r="T136" s="141" t="s">
        <v>5</v>
      </c>
      <c r="U136" s="42" t="s">
        <v>37</v>
      </c>
      <c r="V136" s="142">
        <v>0</v>
      </c>
      <c r="W136" s="142">
        <f t="shared" si="11"/>
        <v>0</v>
      </c>
      <c r="X136" s="142">
        <v>0</v>
      </c>
      <c r="Y136" s="142">
        <f t="shared" si="12"/>
        <v>0</v>
      </c>
      <c r="Z136" s="142">
        <v>0</v>
      </c>
      <c r="AA136" s="143">
        <f t="shared" si="13"/>
        <v>0</v>
      </c>
      <c r="AH136" s="20" t="s">
        <v>124</v>
      </c>
      <c r="AN136" s="144">
        <f t="shared" si="14"/>
        <v>0</v>
      </c>
      <c r="AO136" s="144">
        <f t="shared" si="15"/>
        <v>0</v>
      </c>
      <c r="AP136" s="144">
        <f t="shared" si="16"/>
        <v>0</v>
      </c>
      <c r="AQ136" s="144">
        <f t="shared" si="17"/>
        <v>0</v>
      </c>
      <c r="AR136" s="144">
        <f t="shared" si="18"/>
        <v>0</v>
      </c>
      <c r="AS136" s="20" t="s">
        <v>73</v>
      </c>
      <c r="AT136" s="144">
        <f t="shared" si="19"/>
        <v>0</v>
      </c>
      <c r="AU136" s="20" t="s">
        <v>127</v>
      </c>
      <c r="AV136" s="20" t="s">
        <v>219</v>
      </c>
    </row>
    <row r="137" spans="2:48" s="1" customFormat="1" ht="25.5" customHeight="1">
      <c r="B137" s="135"/>
      <c r="C137" s="136" t="s">
        <v>184</v>
      </c>
      <c r="D137" s="136" t="s">
        <v>125</v>
      </c>
      <c r="E137" s="137" t="s">
        <v>297</v>
      </c>
      <c r="F137" s="258" t="s">
        <v>298</v>
      </c>
      <c r="G137" s="258"/>
      <c r="H137" s="258"/>
      <c r="I137" s="258"/>
      <c r="J137" s="138" t="s">
        <v>257</v>
      </c>
      <c r="K137" s="139">
        <v>33</v>
      </c>
      <c r="L137" s="251">
        <v>0</v>
      </c>
      <c r="M137" s="251"/>
      <c r="N137" s="251">
        <f t="shared" si="10"/>
        <v>0</v>
      </c>
      <c r="O137" s="251"/>
      <c r="P137" s="251"/>
      <c r="Q137" s="251"/>
      <c r="R137" s="140"/>
      <c r="T137" s="141" t="s">
        <v>5</v>
      </c>
      <c r="U137" s="42" t="s">
        <v>37</v>
      </c>
      <c r="V137" s="142">
        <v>0</v>
      </c>
      <c r="W137" s="142">
        <f t="shared" si="11"/>
        <v>0</v>
      </c>
      <c r="X137" s="142">
        <v>0</v>
      </c>
      <c r="Y137" s="142">
        <f t="shared" si="12"/>
        <v>0</v>
      </c>
      <c r="Z137" s="142">
        <v>0</v>
      </c>
      <c r="AA137" s="143">
        <f t="shared" si="13"/>
        <v>0</v>
      </c>
      <c r="AH137" s="20" t="s">
        <v>124</v>
      </c>
      <c r="AN137" s="144">
        <f t="shared" si="14"/>
        <v>0</v>
      </c>
      <c r="AO137" s="144">
        <f t="shared" si="15"/>
        <v>0</v>
      </c>
      <c r="AP137" s="144">
        <f t="shared" si="16"/>
        <v>0</v>
      </c>
      <c r="AQ137" s="144">
        <f t="shared" si="17"/>
        <v>0</v>
      </c>
      <c r="AR137" s="144">
        <f t="shared" si="18"/>
        <v>0</v>
      </c>
      <c r="AS137" s="20" t="s">
        <v>73</v>
      </c>
      <c r="AT137" s="144">
        <f t="shared" si="19"/>
        <v>0</v>
      </c>
      <c r="AU137" s="20" t="s">
        <v>127</v>
      </c>
      <c r="AV137" s="20" t="s">
        <v>220</v>
      </c>
    </row>
    <row r="138" spans="2:48" s="1" customFormat="1" ht="25.5" customHeight="1">
      <c r="B138" s="135"/>
      <c r="C138" s="136" t="s">
        <v>185</v>
      </c>
      <c r="D138" s="136" t="s">
        <v>125</v>
      </c>
      <c r="E138" s="137" t="s">
        <v>299</v>
      </c>
      <c r="F138" s="258" t="s">
        <v>300</v>
      </c>
      <c r="G138" s="258"/>
      <c r="H138" s="258"/>
      <c r="I138" s="258"/>
      <c r="J138" s="138" t="s">
        <v>257</v>
      </c>
      <c r="K138" s="139">
        <v>33</v>
      </c>
      <c r="L138" s="251">
        <v>0</v>
      </c>
      <c r="M138" s="251"/>
      <c r="N138" s="251">
        <f t="shared" si="10"/>
        <v>0</v>
      </c>
      <c r="O138" s="251"/>
      <c r="P138" s="251"/>
      <c r="Q138" s="251"/>
      <c r="R138" s="140"/>
      <c r="T138" s="141" t="s">
        <v>5</v>
      </c>
      <c r="U138" s="42" t="s">
        <v>37</v>
      </c>
      <c r="V138" s="142">
        <v>0</v>
      </c>
      <c r="W138" s="142">
        <f t="shared" si="11"/>
        <v>0</v>
      </c>
      <c r="X138" s="142">
        <v>0</v>
      </c>
      <c r="Y138" s="142">
        <f t="shared" si="12"/>
        <v>0</v>
      </c>
      <c r="Z138" s="142">
        <v>0</v>
      </c>
      <c r="AA138" s="143">
        <f t="shared" si="13"/>
        <v>0</v>
      </c>
      <c r="AH138" s="20" t="s">
        <v>124</v>
      </c>
      <c r="AN138" s="144">
        <f t="shared" si="14"/>
        <v>0</v>
      </c>
      <c r="AO138" s="144">
        <f t="shared" si="15"/>
        <v>0</v>
      </c>
      <c r="AP138" s="144">
        <f t="shared" si="16"/>
        <v>0</v>
      </c>
      <c r="AQ138" s="144">
        <f t="shared" si="17"/>
        <v>0</v>
      </c>
      <c r="AR138" s="144">
        <f t="shared" si="18"/>
        <v>0</v>
      </c>
      <c r="AS138" s="20" t="s">
        <v>73</v>
      </c>
      <c r="AT138" s="144">
        <f t="shared" si="19"/>
        <v>0</v>
      </c>
      <c r="AU138" s="20" t="s">
        <v>127</v>
      </c>
      <c r="AV138" s="20" t="s">
        <v>223</v>
      </c>
    </row>
    <row r="139" spans="2:48" s="1" customFormat="1" ht="25.5" customHeight="1">
      <c r="B139" s="135"/>
      <c r="C139" s="136" t="s">
        <v>186</v>
      </c>
      <c r="D139" s="136" t="s">
        <v>125</v>
      </c>
      <c r="E139" s="137" t="s">
        <v>301</v>
      </c>
      <c r="F139" s="258" t="s">
        <v>302</v>
      </c>
      <c r="G139" s="258"/>
      <c r="H139" s="258"/>
      <c r="I139" s="258"/>
      <c r="J139" s="138" t="s">
        <v>257</v>
      </c>
      <c r="K139" s="139">
        <v>2</v>
      </c>
      <c r="L139" s="251">
        <v>0</v>
      </c>
      <c r="M139" s="251"/>
      <c r="N139" s="251">
        <f t="shared" si="10"/>
        <v>0</v>
      </c>
      <c r="O139" s="251"/>
      <c r="P139" s="251"/>
      <c r="Q139" s="251"/>
      <c r="R139" s="140"/>
      <c r="T139" s="141" t="s">
        <v>5</v>
      </c>
      <c r="U139" s="42" t="s">
        <v>37</v>
      </c>
      <c r="V139" s="142">
        <v>0</v>
      </c>
      <c r="W139" s="142">
        <f t="shared" si="11"/>
        <v>0</v>
      </c>
      <c r="X139" s="142">
        <v>0</v>
      </c>
      <c r="Y139" s="142">
        <f t="shared" si="12"/>
        <v>0</v>
      </c>
      <c r="Z139" s="142">
        <v>0</v>
      </c>
      <c r="AA139" s="143">
        <f t="shared" si="13"/>
        <v>0</v>
      </c>
      <c r="AH139" s="20" t="s">
        <v>124</v>
      </c>
      <c r="AN139" s="144">
        <f t="shared" si="14"/>
        <v>0</v>
      </c>
      <c r="AO139" s="144">
        <f t="shared" si="15"/>
        <v>0</v>
      </c>
      <c r="AP139" s="144">
        <f t="shared" si="16"/>
        <v>0</v>
      </c>
      <c r="AQ139" s="144">
        <f t="shared" si="17"/>
        <v>0</v>
      </c>
      <c r="AR139" s="144">
        <f t="shared" si="18"/>
        <v>0</v>
      </c>
      <c r="AS139" s="20" t="s">
        <v>73</v>
      </c>
      <c r="AT139" s="144">
        <f t="shared" si="19"/>
        <v>0</v>
      </c>
      <c r="AU139" s="20" t="s">
        <v>127</v>
      </c>
      <c r="AV139" s="20" t="s">
        <v>224</v>
      </c>
    </row>
    <row r="140" spans="2:48" s="1" customFormat="1" ht="16.5" customHeight="1">
      <c r="B140" s="135"/>
      <c r="C140" s="136" t="s">
        <v>187</v>
      </c>
      <c r="D140" s="136" t="s">
        <v>125</v>
      </c>
      <c r="E140" s="137" t="s">
        <v>303</v>
      </c>
      <c r="F140" s="258" t="s">
        <v>304</v>
      </c>
      <c r="G140" s="258"/>
      <c r="H140" s="258"/>
      <c r="I140" s="258"/>
      <c r="J140" s="138" t="s">
        <v>257</v>
      </c>
      <c r="K140" s="139">
        <v>2</v>
      </c>
      <c r="L140" s="251">
        <v>0</v>
      </c>
      <c r="M140" s="251"/>
      <c r="N140" s="251">
        <f t="shared" si="10"/>
        <v>0</v>
      </c>
      <c r="O140" s="251"/>
      <c r="P140" s="251"/>
      <c r="Q140" s="251"/>
      <c r="R140" s="140"/>
      <c r="T140" s="141" t="s">
        <v>5</v>
      </c>
      <c r="U140" s="42" t="s">
        <v>37</v>
      </c>
      <c r="V140" s="142">
        <v>0</v>
      </c>
      <c r="W140" s="142">
        <f t="shared" si="11"/>
        <v>0</v>
      </c>
      <c r="X140" s="142">
        <v>0</v>
      </c>
      <c r="Y140" s="142">
        <f t="shared" si="12"/>
        <v>0</v>
      </c>
      <c r="Z140" s="142">
        <v>0</v>
      </c>
      <c r="AA140" s="143">
        <f t="shared" si="13"/>
        <v>0</v>
      </c>
      <c r="AH140" s="20" t="s">
        <v>124</v>
      </c>
      <c r="AN140" s="144">
        <f t="shared" si="14"/>
        <v>0</v>
      </c>
      <c r="AO140" s="144">
        <f t="shared" si="15"/>
        <v>0</v>
      </c>
      <c r="AP140" s="144">
        <f t="shared" si="16"/>
        <v>0</v>
      </c>
      <c r="AQ140" s="144">
        <f t="shared" si="17"/>
        <v>0</v>
      </c>
      <c r="AR140" s="144">
        <f t="shared" si="18"/>
        <v>0</v>
      </c>
      <c r="AS140" s="20" t="s">
        <v>73</v>
      </c>
      <c r="AT140" s="144">
        <f t="shared" si="19"/>
        <v>0</v>
      </c>
      <c r="AU140" s="20" t="s">
        <v>127</v>
      </c>
      <c r="AV140" s="20" t="s">
        <v>225</v>
      </c>
    </row>
    <row r="141" spans="2:48" s="1" customFormat="1" ht="16.5" customHeight="1">
      <c r="B141" s="135"/>
      <c r="C141" s="136" t="s">
        <v>190</v>
      </c>
      <c r="D141" s="136" t="s">
        <v>125</v>
      </c>
      <c r="E141" s="137" t="s">
        <v>305</v>
      </c>
      <c r="F141" s="258" t="s">
        <v>306</v>
      </c>
      <c r="G141" s="258"/>
      <c r="H141" s="258"/>
      <c r="I141" s="258"/>
      <c r="J141" s="138" t="s">
        <v>181</v>
      </c>
      <c r="K141" s="139">
        <v>1</v>
      </c>
      <c r="L141" s="251">
        <v>0</v>
      </c>
      <c r="M141" s="251"/>
      <c r="N141" s="251">
        <f t="shared" si="10"/>
        <v>0</v>
      </c>
      <c r="O141" s="251"/>
      <c r="P141" s="251"/>
      <c r="Q141" s="251"/>
      <c r="R141" s="140"/>
      <c r="T141" s="141" t="s">
        <v>5</v>
      </c>
      <c r="U141" s="42" t="s">
        <v>37</v>
      </c>
      <c r="V141" s="142">
        <v>0</v>
      </c>
      <c r="W141" s="142">
        <f t="shared" si="11"/>
        <v>0</v>
      </c>
      <c r="X141" s="142">
        <v>0</v>
      </c>
      <c r="Y141" s="142">
        <f t="shared" si="12"/>
        <v>0</v>
      </c>
      <c r="Z141" s="142">
        <v>0</v>
      </c>
      <c r="AA141" s="143">
        <f t="shared" si="13"/>
        <v>0</v>
      </c>
      <c r="AH141" s="20" t="s">
        <v>124</v>
      </c>
      <c r="AN141" s="144">
        <f t="shared" si="14"/>
        <v>0</v>
      </c>
      <c r="AO141" s="144">
        <f t="shared" si="15"/>
        <v>0</v>
      </c>
      <c r="AP141" s="144">
        <f t="shared" si="16"/>
        <v>0</v>
      </c>
      <c r="AQ141" s="144">
        <f t="shared" si="17"/>
        <v>0</v>
      </c>
      <c r="AR141" s="144">
        <f t="shared" si="18"/>
        <v>0</v>
      </c>
      <c r="AS141" s="20" t="s">
        <v>73</v>
      </c>
      <c r="AT141" s="144">
        <f t="shared" si="19"/>
        <v>0</v>
      </c>
      <c r="AU141" s="20" t="s">
        <v>127</v>
      </c>
      <c r="AV141" s="20" t="s">
        <v>230</v>
      </c>
    </row>
    <row r="142" spans="2:48" s="1" customFormat="1" ht="16.5" customHeight="1">
      <c r="B142" s="135"/>
      <c r="C142" s="136" t="s">
        <v>191</v>
      </c>
      <c r="D142" s="136" t="s">
        <v>125</v>
      </c>
      <c r="E142" s="137" t="s">
        <v>307</v>
      </c>
      <c r="F142" s="258" t="s">
        <v>308</v>
      </c>
      <c r="G142" s="258"/>
      <c r="H142" s="258"/>
      <c r="I142" s="258"/>
      <c r="J142" s="138" t="s">
        <v>181</v>
      </c>
      <c r="K142" s="139">
        <v>1</v>
      </c>
      <c r="L142" s="251">
        <v>0</v>
      </c>
      <c r="M142" s="251"/>
      <c r="N142" s="251">
        <f t="shared" si="10"/>
        <v>0</v>
      </c>
      <c r="O142" s="251"/>
      <c r="P142" s="251"/>
      <c r="Q142" s="251"/>
      <c r="R142" s="140"/>
      <c r="T142" s="141" t="s">
        <v>5</v>
      </c>
      <c r="U142" s="42" t="s">
        <v>37</v>
      </c>
      <c r="V142" s="142">
        <v>0</v>
      </c>
      <c r="W142" s="142">
        <f t="shared" si="11"/>
        <v>0</v>
      </c>
      <c r="X142" s="142">
        <v>0</v>
      </c>
      <c r="Y142" s="142">
        <f t="shared" si="12"/>
        <v>0</v>
      </c>
      <c r="Z142" s="142">
        <v>0</v>
      </c>
      <c r="AA142" s="143">
        <f t="shared" si="13"/>
        <v>0</v>
      </c>
      <c r="AH142" s="20" t="s">
        <v>124</v>
      </c>
      <c r="AN142" s="144">
        <f t="shared" si="14"/>
        <v>0</v>
      </c>
      <c r="AO142" s="144">
        <f t="shared" si="15"/>
        <v>0</v>
      </c>
      <c r="AP142" s="144">
        <f t="shared" si="16"/>
        <v>0</v>
      </c>
      <c r="AQ142" s="144">
        <f t="shared" si="17"/>
        <v>0</v>
      </c>
      <c r="AR142" s="144">
        <f t="shared" si="18"/>
        <v>0</v>
      </c>
      <c r="AS142" s="20" t="s">
        <v>73</v>
      </c>
      <c r="AT142" s="144">
        <f t="shared" si="19"/>
        <v>0</v>
      </c>
      <c r="AU142" s="20" t="s">
        <v>127</v>
      </c>
      <c r="AV142" s="20" t="s">
        <v>232</v>
      </c>
    </row>
    <row r="143" spans="2:48" s="1" customFormat="1" ht="25.5" customHeight="1">
      <c r="B143" s="135"/>
      <c r="C143" s="136" t="s">
        <v>71</v>
      </c>
      <c r="D143" s="136" t="s">
        <v>125</v>
      </c>
      <c r="E143" s="137" t="s">
        <v>309</v>
      </c>
      <c r="F143" s="258" t="s">
        <v>310</v>
      </c>
      <c r="G143" s="258"/>
      <c r="H143" s="258"/>
      <c r="I143" s="258"/>
      <c r="J143" s="138" t="s">
        <v>181</v>
      </c>
      <c r="K143" s="139">
        <v>1</v>
      </c>
      <c r="L143" s="251">
        <v>0</v>
      </c>
      <c r="M143" s="251"/>
      <c r="N143" s="251">
        <f t="shared" si="10"/>
        <v>0</v>
      </c>
      <c r="O143" s="251"/>
      <c r="P143" s="251"/>
      <c r="Q143" s="251"/>
      <c r="R143" s="140"/>
      <c r="T143" s="141" t="s">
        <v>5</v>
      </c>
      <c r="U143" s="42" t="s">
        <v>37</v>
      </c>
      <c r="V143" s="142">
        <v>0</v>
      </c>
      <c r="W143" s="142">
        <f t="shared" si="11"/>
        <v>0</v>
      </c>
      <c r="X143" s="142">
        <v>0</v>
      </c>
      <c r="Y143" s="142">
        <f t="shared" si="12"/>
        <v>0</v>
      </c>
      <c r="Z143" s="142">
        <v>0</v>
      </c>
      <c r="AA143" s="143">
        <f t="shared" si="13"/>
        <v>0</v>
      </c>
      <c r="AH143" s="20" t="s">
        <v>124</v>
      </c>
      <c r="AN143" s="144">
        <f t="shared" si="14"/>
        <v>0</v>
      </c>
      <c r="AO143" s="144">
        <f t="shared" si="15"/>
        <v>0</v>
      </c>
      <c r="AP143" s="144">
        <f t="shared" si="16"/>
        <v>0</v>
      </c>
      <c r="AQ143" s="144">
        <f t="shared" si="17"/>
        <v>0</v>
      </c>
      <c r="AR143" s="144">
        <f t="shared" si="18"/>
        <v>0</v>
      </c>
      <c r="AS143" s="20" t="s">
        <v>73</v>
      </c>
      <c r="AT143" s="144">
        <f t="shared" si="19"/>
        <v>0</v>
      </c>
      <c r="AU143" s="20" t="s">
        <v>127</v>
      </c>
      <c r="AV143" s="20" t="s">
        <v>235</v>
      </c>
    </row>
    <row r="144" spans="2:48" s="1" customFormat="1" ht="16.5" customHeight="1">
      <c r="B144" s="135"/>
      <c r="C144" s="136" t="s">
        <v>192</v>
      </c>
      <c r="D144" s="136" t="s">
        <v>125</v>
      </c>
      <c r="E144" s="137" t="s">
        <v>311</v>
      </c>
      <c r="F144" s="258" t="s">
        <v>312</v>
      </c>
      <c r="G144" s="258"/>
      <c r="H144" s="258"/>
      <c r="I144" s="258"/>
      <c r="J144" s="138" t="s">
        <v>257</v>
      </c>
      <c r="K144" s="139">
        <v>2</v>
      </c>
      <c r="L144" s="251">
        <v>0</v>
      </c>
      <c r="M144" s="251"/>
      <c r="N144" s="251">
        <f t="shared" si="10"/>
        <v>0</v>
      </c>
      <c r="O144" s="251"/>
      <c r="P144" s="251"/>
      <c r="Q144" s="251"/>
      <c r="R144" s="140"/>
      <c r="T144" s="141" t="s">
        <v>5</v>
      </c>
      <c r="U144" s="42" t="s">
        <v>37</v>
      </c>
      <c r="V144" s="142">
        <v>0</v>
      </c>
      <c r="W144" s="142">
        <f t="shared" si="11"/>
        <v>0</v>
      </c>
      <c r="X144" s="142">
        <v>0</v>
      </c>
      <c r="Y144" s="142">
        <f t="shared" si="12"/>
        <v>0</v>
      </c>
      <c r="Z144" s="142">
        <v>0</v>
      </c>
      <c r="AA144" s="143">
        <f t="shared" si="13"/>
        <v>0</v>
      </c>
      <c r="AH144" s="20" t="s">
        <v>124</v>
      </c>
      <c r="AN144" s="144">
        <f t="shared" si="14"/>
        <v>0</v>
      </c>
      <c r="AO144" s="144">
        <f t="shared" si="15"/>
        <v>0</v>
      </c>
      <c r="AP144" s="144">
        <f t="shared" si="16"/>
        <v>0</v>
      </c>
      <c r="AQ144" s="144">
        <f t="shared" si="17"/>
        <v>0</v>
      </c>
      <c r="AR144" s="144">
        <f t="shared" si="18"/>
        <v>0</v>
      </c>
      <c r="AS144" s="20" t="s">
        <v>73</v>
      </c>
      <c r="AT144" s="144">
        <f t="shared" si="19"/>
        <v>0</v>
      </c>
      <c r="AU144" s="20" t="s">
        <v>127</v>
      </c>
      <c r="AV144" s="20" t="s">
        <v>236</v>
      </c>
    </row>
    <row r="145" spans="2:48" s="1" customFormat="1" ht="16.5" customHeight="1">
      <c r="B145" s="135"/>
      <c r="C145" s="136" t="s">
        <v>196</v>
      </c>
      <c r="D145" s="136" t="s">
        <v>125</v>
      </c>
      <c r="E145" s="137" t="s">
        <v>313</v>
      </c>
      <c r="F145" s="258" t="s">
        <v>314</v>
      </c>
      <c r="G145" s="258"/>
      <c r="H145" s="258"/>
      <c r="I145" s="258"/>
      <c r="J145" s="138" t="s">
        <v>257</v>
      </c>
      <c r="K145" s="139">
        <v>2</v>
      </c>
      <c r="L145" s="251">
        <v>0</v>
      </c>
      <c r="M145" s="251"/>
      <c r="N145" s="251">
        <f t="shared" si="10"/>
        <v>0</v>
      </c>
      <c r="O145" s="251"/>
      <c r="P145" s="251"/>
      <c r="Q145" s="251"/>
      <c r="R145" s="140"/>
      <c r="T145" s="141" t="s">
        <v>5</v>
      </c>
      <c r="U145" s="42" t="s">
        <v>37</v>
      </c>
      <c r="V145" s="142">
        <v>0</v>
      </c>
      <c r="W145" s="142">
        <f t="shared" si="11"/>
        <v>0</v>
      </c>
      <c r="X145" s="142">
        <v>0</v>
      </c>
      <c r="Y145" s="142">
        <f t="shared" si="12"/>
        <v>0</v>
      </c>
      <c r="Z145" s="142">
        <v>0</v>
      </c>
      <c r="AA145" s="143">
        <f t="shared" si="13"/>
        <v>0</v>
      </c>
      <c r="AH145" s="20" t="s">
        <v>124</v>
      </c>
      <c r="AN145" s="144">
        <f t="shared" si="14"/>
        <v>0</v>
      </c>
      <c r="AO145" s="144">
        <f t="shared" si="15"/>
        <v>0</v>
      </c>
      <c r="AP145" s="144">
        <f t="shared" si="16"/>
        <v>0</v>
      </c>
      <c r="AQ145" s="144">
        <f t="shared" si="17"/>
        <v>0</v>
      </c>
      <c r="AR145" s="144">
        <f t="shared" si="18"/>
        <v>0</v>
      </c>
      <c r="AS145" s="20" t="s">
        <v>73</v>
      </c>
      <c r="AT145" s="144">
        <f t="shared" si="19"/>
        <v>0</v>
      </c>
      <c r="AU145" s="20" t="s">
        <v>127</v>
      </c>
      <c r="AV145" s="20" t="s">
        <v>237</v>
      </c>
    </row>
    <row r="146" spans="2:48" s="1" customFormat="1" ht="25.5" customHeight="1">
      <c r="B146" s="135"/>
      <c r="C146" s="136" t="s">
        <v>199</v>
      </c>
      <c r="D146" s="136" t="s">
        <v>125</v>
      </c>
      <c r="E146" s="137" t="s">
        <v>315</v>
      </c>
      <c r="F146" s="258" t="s">
        <v>316</v>
      </c>
      <c r="G146" s="258"/>
      <c r="H146" s="258"/>
      <c r="I146" s="258"/>
      <c r="J146" s="138" t="s">
        <v>181</v>
      </c>
      <c r="K146" s="139">
        <v>1</v>
      </c>
      <c r="L146" s="251">
        <v>0</v>
      </c>
      <c r="M146" s="251"/>
      <c r="N146" s="251">
        <f t="shared" si="10"/>
        <v>0</v>
      </c>
      <c r="O146" s="251"/>
      <c r="P146" s="251"/>
      <c r="Q146" s="251"/>
      <c r="R146" s="140"/>
      <c r="T146" s="141" t="s">
        <v>5</v>
      </c>
      <c r="U146" s="42" t="s">
        <v>37</v>
      </c>
      <c r="V146" s="142">
        <v>0</v>
      </c>
      <c r="W146" s="142">
        <f t="shared" si="11"/>
        <v>0</v>
      </c>
      <c r="X146" s="142">
        <v>0</v>
      </c>
      <c r="Y146" s="142">
        <f t="shared" si="12"/>
        <v>0</v>
      </c>
      <c r="Z146" s="142">
        <v>0</v>
      </c>
      <c r="AA146" s="143">
        <f t="shared" si="13"/>
        <v>0</v>
      </c>
      <c r="AH146" s="20" t="s">
        <v>124</v>
      </c>
      <c r="AN146" s="144">
        <f t="shared" si="14"/>
        <v>0</v>
      </c>
      <c r="AO146" s="144">
        <f t="shared" si="15"/>
        <v>0</v>
      </c>
      <c r="AP146" s="144">
        <f t="shared" si="16"/>
        <v>0</v>
      </c>
      <c r="AQ146" s="144">
        <f t="shared" si="17"/>
        <v>0</v>
      </c>
      <c r="AR146" s="144">
        <f t="shared" si="18"/>
        <v>0</v>
      </c>
      <c r="AS146" s="20" t="s">
        <v>73</v>
      </c>
      <c r="AT146" s="144">
        <f t="shared" si="19"/>
        <v>0</v>
      </c>
      <c r="AU146" s="20" t="s">
        <v>127</v>
      </c>
      <c r="AV146" s="20" t="s">
        <v>239</v>
      </c>
    </row>
    <row r="147" spans="2:48" s="1" customFormat="1" ht="16.5" customHeight="1">
      <c r="B147" s="135"/>
      <c r="C147" s="136" t="s">
        <v>203</v>
      </c>
      <c r="D147" s="136" t="s">
        <v>125</v>
      </c>
      <c r="E147" s="137" t="s">
        <v>317</v>
      </c>
      <c r="F147" s="258" t="s">
        <v>318</v>
      </c>
      <c r="G147" s="258"/>
      <c r="H147" s="258"/>
      <c r="I147" s="258"/>
      <c r="J147" s="138" t="s">
        <v>319</v>
      </c>
      <c r="K147" s="139">
        <v>1</v>
      </c>
      <c r="L147" s="251">
        <v>0</v>
      </c>
      <c r="M147" s="251"/>
      <c r="N147" s="251">
        <f t="shared" si="10"/>
        <v>0</v>
      </c>
      <c r="O147" s="251"/>
      <c r="P147" s="251"/>
      <c r="Q147" s="251"/>
      <c r="R147" s="140"/>
      <c r="T147" s="141" t="s">
        <v>5</v>
      </c>
      <c r="U147" s="42" t="s">
        <v>37</v>
      </c>
      <c r="V147" s="142">
        <v>0</v>
      </c>
      <c r="W147" s="142">
        <f t="shared" si="11"/>
        <v>0</v>
      </c>
      <c r="X147" s="142">
        <v>0</v>
      </c>
      <c r="Y147" s="142">
        <f t="shared" si="12"/>
        <v>0</v>
      </c>
      <c r="Z147" s="142">
        <v>0</v>
      </c>
      <c r="AA147" s="143">
        <f t="shared" si="13"/>
        <v>0</v>
      </c>
      <c r="AH147" s="20" t="s">
        <v>124</v>
      </c>
      <c r="AN147" s="144">
        <f t="shared" si="14"/>
        <v>0</v>
      </c>
      <c r="AO147" s="144">
        <f t="shared" si="15"/>
        <v>0</v>
      </c>
      <c r="AP147" s="144">
        <f t="shared" si="16"/>
        <v>0</v>
      </c>
      <c r="AQ147" s="144">
        <f t="shared" si="17"/>
        <v>0</v>
      </c>
      <c r="AR147" s="144">
        <f t="shared" si="18"/>
        <v>0</v>
      </c>
      <c r="AS147" s="20" t="s">
        <v>73</v>
      </c>
      <c r="AT147" s="144">
        <f t="shared" si="19"/>
        <v>0</v>
      </c>
      <c r="AU147" s="20" t="s">
        <v>127</v>
      </c>
      <c r="AV147" s="20" t="s">
        <v>240</v>
      </c>
    </row>
    <row r="148" spans="2:48" s="1" customFormat="1" ht="25.5" customHeight="1">
      <c r="B148" s="135"/>
      <c r="C148" s="136" t="s">
        <v>206</v>
      </c>
      <c r="D148" s="136" t="s">
        <v>125</v>
      </c>
      <c r="E148" s="137" t="s">
        <v>320</v>
      </c>
      <c r="F148" s="258" t="s">
        <v>321</v>
      </c>
      <c r="G148" s="258"/>
      <c r="H148" s="258"/>
      <c r="I148" s="258"/>
      <c r="J148" s="138" t="s">
        <v>181</v>
      </c>
      <c r="K148" s="139">
        <v>1</v>
      </c>
      <c r="L148" s="251">
        <v>0</v>
      </c>
      <c r="M148" s="251"/>
      <c r="N148" s="251">
        <f t="shared" si="10"/>
        <v>0</v>
      </c>
      <c r="O148" s="251"/>
      <c r="P148" s="251"/>
      <c r="Q148" s="251"/>
      <c r="R148" s="140"/>
      <c r="T148" s="141" t="s">
        <v>5</v>
      </c>
      <c r="U148" s="42" t="s">
        <v>37</v>
      </c>
      <c r="V148" s="142">
        <v>0</v>
      </c>
      <c r="W148" s="142">
        <f t="shared" si="11"/>
        <v>0</v>
      </c>
      <c r="X148" s="142">
        <v>0</v>
      </c>
      <c r="Y148" s="142">
        <f t="shared" si="12"/>
        <v>0</v>
      </c>
      <c r="Z148" s="142">
        <v>0</v>
      </c>
      <c r="AA148" s="143">
        <f t="shared" si="13"/>
        <v>0</v>
      </c>
      <c r="AH148" s="20" t="s">
        <v>124</v>
      </c>
      <c r="AN148" s="144">
        <f t="shared" si="14"/>
        <v>0</v>
      </c>
      <c r="AO148" s="144">
        <f t="shared" si="15"/>
        <v>0</v>
      </c>
      <c r="AP148" s="144">
        <f t="shared" si="16"/>
        <v>0</v>
      </c>
      <c r="AQ148" s="144">
        <f t="shared" si="17"/>
        <v>0</v>
      </c>
      <c r="AR148" s="144">
        <f t="shared" si="18"/>
        <v>0</v>
      </c>
      <c r="AS148" s="20" t="s">
        <v>73</v>
      </c>
      <c r="AT148" s="144">
        <f t="shared" si="19"/>
        <v>0</v>
      </c>
      <c r="AU148" s="20" t="s">
        <v>127</v>
      </c>
      <c r="AV148" s="20" t="s">
        <v>241</v>
      </c>
    </row>
    <row r="149" spans="2:48" s="1" customFormat="1" ht="25.5" customHeight="1">
      <c r="B149" s="135"/>
      <c r="C149" s="136" t="s">
        <v>206</v>
      </c>
      <c r="D149" s="136" t="s">
        <v>125</v>
      </c>
      <c r="E149" s="137" t="s">
        <v>322</v>
      </c>
      <c r="F149" s="258" t="s">
        <v>323</v>
      </c>
      <c r="G149" s="258"/>
      <c r="H149" s="258"/>
      <c r="I149" s="258"/>
      <c r="J149" s="138" t="s">
        <v>181</v>
      </c>
      <c r="K149" s="139">
        <v>1</v>
      </c>
      <c r="L149" s="251">
        <v>0</v>
      </c>
      <c r="M149" s="251"/>
      <c r="N149" s="251">
        <f t="shared" si="10"/>
        <v>0</v>
      </c>
      <c r="O149" s="251"/>
      <c r="P149" s="251"/>
      <c r="Q149" s="251"/>
      <c r="R149" s="140"/>
      <c r="T149" s="141" t="s">
        <v>5</v>
      </c>
      <c r="U149" s="42" t="s">
        <v>37</v>
      </c>
      <c r="V149" s="142">
        <v>0</v>
      </c>
      <c r="W149" s="142">
        <f t="shared" si="11"/>
        <v>0</v>
      </c>
      <c r="X149" s="142">
        <v>0</v>
      </c>
      <c r="Y149" s="142">
        <f t="shared" si="12"/>
        <v>0</v>
      </c>
      <c r="Z149" s="142">
        <v>0</v>
      </c>
      <c r="AA149" s="143">
        <f t="shared" si="13"/>
        <v>0</v>
      </c>
      <c r="AH149" s="20" t="s">
        <v>124</v>
      </c>
      <c r="AN149" s="144">
        <f t="shared" si="14"/>
        <v>0</v>
      </c>
      <c r="AO149" s="144">
        <f t="shared" si="15"/>
        <v>0</v>
      </c>
      <c r="AP149" s="144">
        <f t="shared" si="16"/>
        <v>0</v>
      </c>
      <c r="AQ149" s="144">
        <f t="shared" si="17"/>
        <v>0</v>
      </c>
      <c r="AR149" s="144">
        <f t="shared" si="18"/>
        <v>0</v>
      </c>
      <c r="AS149" s="20" t="s">
        <v>73</v>
      </c>
      <c r="AT149" s="144">
        <f t="shared" si="19"/>
        <v>0</v>
      </c>
      <c r="AU149" s="20" t="s">
        <v>127</v>
      </c>
      <c r="AV149" s="20" t="s">
        <v>242</v>
      </c>
    </row>
    <row r="150" spans="2:48" s="1" customFormat="1" ht="25.5" customHeight="1">
      <c r="B150" s="135"/>
      <c r="C150" s="136" t="s">
        <v>209</v>
      </c>
      <c r="D150" s="136" t="s">
        <v>125</v>
      </c>
      <c r="E150" s="137" t="s">
        <v>324</v>
      </c>
      <c r="F150" s="258" t="s">
        <v>325</v>
      </c>
      <c r="G150" s="258"/>
      <c r="H150" s="258"/>
      <c r="I150" s="258"/>
      <c r="J150" s="138" t="s">
        <v>181</v>
      </c>
      <c r="K150" s="139">
        <v>65</v>
      </c>
      <c r="L150" s="251">
        <v>0</v>
      </c>
      <c r="M150" s="251"/>
      <c r="N150" s="251">
        <f t="shared" si="10"/>
        <v>0</v>
      </c>
      <c r="O150" s="251"/>
      <c r="P150" s="251"/>
      <c r="Q150" s="251"/>
      <c r="R150" s="140"/>
      <c r="T150" s="141" t="s">
        <v>5</v>
      </c>
      <c r="U150" s="42" t="s">
        <v>37</v>
      </c>
      <c r="V150" s="142">
        <v>0</v>
      </c>
      <c r="W150" s="142">
        <f t="shared" si="11"/>
        <v>0</v>
      </c>
      <c r="X150" s="142">
        <v>0</v>
      </c>
      <c r="Y150" s="142">
        <f t="shared" si="12"/>
        <v>0</v>
      </c>
      <c r="Z150" s="142">
        <v>0</v>
      </c>
      <c r="AA150" s="143">
        <f t="shared" si="13"/>
        <v>0</v>
      </c>
      <c r="AH150" s="20" t="s">
        <v>124</v>
      </c>
      <c r="AN150" s="144">
        <f t="shared" si="14"/>
        <v>0</v>
      </c>
      <c r="AO150" s="144">
        <f t="shared" si="15"/>
        <v>0</v>
      </c>
      <c r="AP150" s="144">
        <f t="shared" si="16"/>
        <v>0</v>
      </c>
      <c r="AQ150" s="144">
        <f t="shared" si="17"/>
        <v>0</v>
      </c>
      <c r="AR150" s="144">
        <f t="shared" si="18"/>
        <v>0</v>
      </c>
      <c r="AS150" s="20" t="s">
        <v>73</v>
      </c>
      <c r="AT150" s="144">
        <f t="shared" si="19"/>
        <v>0</v>
      </c>
      <c r="AU150" s="20" t="s">
        <v>127</v>
      </c>
      <c r="AV150" s="20" t="s">
        <v>243</v>
      </c>
    </row>
    <row r="151" spans="2:48" s="9" customFormat="1" ht="29.85" customHeight="1">
      <c r="B151" s="125"/>
      <c r="C151" s="126"/>
      <c r="D151" s="134" t="s">
        <v>254</v>
      </c>
      <c r="E151" s="134"/>
      <c r="F151" s="134"/>
      <c r="G151" s="134"/>
      <c r="H151" s="134"/>
      <c r="I151" s="134"/>
      <c r="J151" s="134"/>
      <c r="K151" s="134"/>
      <c r="L151" s="134"/>
      <c r="M151" s="134"/>
      <c r="N151" s="294">
        <f>N152+N153</f>
        <v>0</v>
      </c>
      <c r="O151" s="295"/>
      <c r="P151" s="295"/>
      <c r="Q151" s="295"/>
      <c r="R151" s="128"/>
      <c r="T151" s="129"/>
      <c r="U151" s="126"/>
      <c r="V151" s="126"/>
      <c r="W151" s="130">
        <f>SUM(W152:W153)</f>
        <v>0</v>
      </c>
      <c r="X151" s="126"/>
      <c r="Y151" s="130">
        <f>SUM(Y152:Y153)</f>
        <v>0</v>
      </c>
      <c r="Z151" s="126"/>
      <c r="AA151" s="131">
        <f>SUM(AA152:AA153)</f>
        <v>0</v>
      </c>
      <c r="AH151" s="132" t="s">
        <v>124</v>
      </c>
      <c r="AT151" s="133">
        <f>SUM(AT152:AT153)</f>
        <v>0</v>
      </c>
    </row>
    <row r="152" spans="2:48" s="1" customFormat="1" ht="16.5" customHeight="1">
      <c r="B152" s="135"/>
      <c r="C152" s="136" t="s">
        <v>71</v>
      </c>
      <c r="D152" s="136" t="s">
        <v>125</v>
      </c>
      <c r="E152" s="137" t="s">
        <v>326</v>
      </c>
      <c r="F152" s="258" t="s">
        <v>327</v>
      </c>
      <c r="G152" s="258"/>
      <c r="H152" s="258"/>
      <c r="I152" s="258"/>
      <c r="J152" s="138" t="s">
        <v>181</v>
      </c>
      <c r="K152" s="139">
        <v>1</v>
      </c>
      <c r="L152" s="251">
        <v>0</v>
      </c>
      <c r="M152" s="251"/>
      <c r="N152" s="251">
        <f>ROUND(L152*K152,2)</f>
        <v>0</v>
      </c>
      <c r="O152" s="251"/>
      <c r="P152" s="251"/>
      <c r="Q152" s="251"/>
      <c r="R152" s="140"/>
      <c r="T152" s="141" t="s">
        <v>5</v>
      </c>
      <c r="U152" s="42" t="s">
        <v>37</v>
      </c>
      <c r="V152" s="142">
        <v>0</v>
      </c>
      <c r="W152" s="142">
        <f>V152*K152</f>
        <v>0</v>
      </c>
      <c r="X152" s="142">
        <v>0</v>
      </c>
      <c r="Y152" s="142">
        <f>X152*K152</f>
        <v>0</v>
      </c>
      <c r="Z152" s="142">
        <v>0</v>
      </c>
      <c r="AA152" s="143">
        <f>Z152*K152</f>
        <v>0</v>
      </c>
      <c r="AH152" s="20" t="s">
        <v>124</v>
      </c>
      <c r="AN152" s="144">
        <f>IF(U152="základní",N152,0)</f>
        <v>0</v>
      </c>
      <c r="AO152" s="144">
        <f>IF(U152="snížená",N152,0)</f>
        <v>0</v>
      </c>
      <c r="AP152" s="144">
        <f>IF(U152="zákl. přenesená",N152,0)</f>
        <v>0</v>
      </c>
      <c r="AQ152" s="144">
        <f>IF(U152="sníž. přenesená",N152,0)</f>
        <v>0</v>
      </c>
      <c r="AR152" s="144">
        <f>IF(U152="nulová",N152,0)</f>
        <v>0</v>
      </c>
      <c r="AS152" s="20" t="s">
        <v>73</v>
      </c>
      <c r="AT152" s="144">
        <f>ROUND(L152*K152,2)</f>
        <v>0</v>
      </c>
      <c r="AU152" s="20" t="s">
        <v>127</v>
      </c>
      <c r="AV152" s="20" t="s">
        <v>244</v>
      </c>
    </row>
    <row r="153" spans="2:48" s="1" customFormat="1" ht="16.5" customHeight="1">
      <c r="B153" s="135"/>
      <c r="C153" s="136" t="s">
        <v>71</v>
      </c>
      <c r="D153" s="136" t="s">
        <v>125</v>
      </c>
      <c r="E153" s="137" t="s">
        <v>328</v>
      </c>
      <c r="F153" s="258" t="s">
        <v>329</v>
      </c>
      <c r="G153" s="258"/>
      <c r="H153" s="258"/>
      <c r="I153" s="258"/>
      <c r="J153" s="138" t="s">
        <v>181</v>
      </c>
      <c r="K153" s="139">
        <v>1</v>
      </c>
      <c r="L153" s="251">
        <v>0</v>
      </c>
      <c r="M153" s="251"/>
      <c r="N153" s="251">
        <f>ROUND(L153*K153,2)</f>
        <v>0</v>
      </c>
      <c r="O153" s="251"/>
      <c r="P153" s="251"/>
      <c r="Q153" s="251"/>
      <c r="R153" s="140"/>
      <c r="T153" s="141" t="s">
        <v>5</v>
      </c>
      <c r="U153" s="169" t="s">
        <v>37</v>
      </c>
      <c r="V153" s="170">
        <v>0</v>
      </c>
      <c r="W153" s="170">
        <f>V153*K153</f>
        <v>0</v>
      </c>
      <c r="X153" s="170">
        <v>0</v>
      </c>
      <c r="Y153" s="170">
        <f>X153*K153</f>
        <v>0</v>
      </c>
      <c r="Z153" s="170">
        <v>0</v>
      </c>
      <c r="AA153" s="171">
        <f>Z153*K153</f>
        <v>0</v>
      </c>
      <c r="AH153" s="20" t="s">
        <v>124</v>
      </c>
      <c r="AN153" s="144">
        <f>IF(U153="základní",N153,0)</f>
        <v>0</v>
      </c>
      <c r="AO153" s="144">
        <f>IF(U153="snížená",N153,0)</f>
        <v>0</v>
      </c>
      <c r="AP153" s="144">
        <f>IF(U153="zákl. přenesená",N153,0)</f>
        <v>0</v>
      </c>
      <c r="AQ153" s="144">
        <f>IF(U153="sníž. přenesená",N153,0)</f>
        <v>0</v>
      </c>
      <c r="AR153" s="144">
        <f>IF(U153="nulová",N153,0)</f>
        <v>0</v>
      </c>
      <c r="AS153" s="20" t="s">
        <v>73</v>
      </c>
      <c r="AT153" s="144">
        <f>ROUND(L153*K153,2)</f>
        <v>0</v>
      </c>
      <c r="AU153" s="20" t="s">
        <v>127</v>
      </c>
      <c r="AV153" s="20" t="s">
        <v>245</v>
      </c>
    </row>
    <row r="154" spans="2:48" s="1" customFormat="1" ht="6.95" customHeight="1">
      <c r="B154" s="57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9"/>
    </row>
  </sheetData>
  <customSheetViews>
    <customSheetView guid="{182649BD-95A6-4BAE-AF43-DC5E29303FC2}" showGridLines="0" fitToPage="1" hiddenRows="1" hiddenColumns="1">
      <pane ySplit="1" topLeftCell="A109" activePane="bottomLeft" state="frozen"/>
      <selection pane="bottomLeft" activeCell="L117" sqref="L117:M117"/>
      <pageMargins left="0.58333330000000005" right="0.58333330000000005" top="0.5" bottom="0.46666669999999999" header="0" footer="0"/>
      <pageSetup paperSize="9" fitToHeight="100" blackAndWhite="1"/>
      <headerFooter>
        <oddFooter>&amp;CStrana &amp;P z &amp;N</oddFooter>
      </headerFooter>
    </customSheetView>
  </customSheetViews>
  <mergeCells count="167">
    <mergeCell ref="F152:I152"/>
    <mergeCell ref="F150:I150"/>
    <mergeCell ref="F153:I153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M36:P36"/>
    <mergeCell ref="L38:P38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13:Q113"/>
    <mergeCell ref="N114:Q114"/>
    <mergeCell ref="N115:Q115"/>
    <mergeCell ref="F116:I116"/>
    <mergeCell ref="F118:I118"/>
    <mergeCell ref="L116:M116"/>
    <mergeCell ref="N116:Q116"/>
    <mergeCell ref="F117:I117"/>
    <mergeCell ref="L117:M117"/>
    <mergeCell ref="N117:Q117"/>
    <mergeCell ref="L118:M118"/>
    <mergeCell ref="N118:Q118"/>
    <mergeCell ref="F119:I119"/>
    <mergeCell ref="F121:I121"/>
    <mergeCell ref="F120:I120"/>
    <mergeCell ref="L119:M119"/>
    <mergeCell ref="N119:Q119"/>
    <mergeCell ref="L120:M120"/>
    <mergeCell ref="N120:Q120"/>
    <mergeCell ref="L121:M121"/>
    <mergeCell ref="N121:Q121"/>
    <mergeCell ref="F122:I122"/>
    <mergeCell ref="F124:I124"/>
    <mergeCell ref="L122:M122"/>
    <mergeCell ref="N122:Q122"/>
    <mergeCell ref="F123:I123"/>
    <mergeCell ref="L123:M123"/>
    <mergeCell ref="N123:Q123"/>
    <mergeCell ref="L124:M124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F128:I128"/>
    <mergeCell ref="F130:I130"/>
    <mergeCell ref="L128:M128"/>
    <mergeCell ref="N128:Q128"/>
    <mergeCell ref="F129:I129"/>
    <mergeCell ref="L129:M129"/>
    <mergeCell ref="N129:Q129"/>
    <mergeCell ref="L130:M130"/>
    <mergeCell ref="N130:Q130"/>
    <mergeCell ref="L148:M148"/>
    <mergeCell ref="L149:M149"/>
    <mergeCell ref="L150:M150"/>
    <mergeCell ref="L152:M152"/>
    <mergeCell ref="L131:M131"/>
    <mergeCell ref="N131:Q131"/>
    <mergeCell ref="L132:M132"/>
    <mergeCell ref="N132:Q132"/>
    <mergeCell ref="L142:M142"/>
    <mergeCell ref="L140:M140"/>
    <mergeCell ref="L137:M137"/>
    <mergeCell ref="L138:M138"/>
    <mergeCell ref="L139:M139"/>
    <mergeCell ref="L141:M141"/>
    <mergeCell ref="L153:M153"/>
    <mergeCell ref="F131:I131"/>
    <mergeCell ref="F134:I134"/>
    <mergeCell ref="F132:I132"/>
    <mergeCell ref="N147:Q147"/>
    <mergeCell ref="N146:Q146"/>
    <mergeCell ref="N148:Q148"/>
    <mergeCell ref="N149:Q149"/>
    <mergeCell ref="N150:Q150"/>
    <mergeCell ref="N152:Q152"/>
    <mergeCell ref="N153:Q153"/>
    <mergeCell ref="N151:Q151"/>
    <mergeCell ref="L134:M134"/>
    <mergeCell ref="N134:Q134"/>
    <mergeCell ref="L135:M135"/>
    <mergeCell ref="N135:Q135"/>
    <mergeCell ref="L136:M136"/>
    <mergeCell ref="N136:Q136"/>
    <mergeCell ref="N137:Q137"/>
    <mergeCell ref="N138:Q138"/>
    <mergeCell ref="N139:Q139"/>
    <mergeCell ref="N140:Q140"/>
    <mergeCell ref="N141:Q141"/>
    <mergeCell ref="N142:Q142"/>
    <mergeCell ref="F146:I146"/>
    <mergeCell ref="F147:I147"/>
    <mergeCell ref="F148:I148"/>
    <mergeCell ref="F149:I149"/>
    <mergeCell ref="N143:Q143"/>
    <mergeCell ref="N144:Q144"/>
    <mergeCell ref="N145:Q145"/>
    <mergeCell ref="N133:Q133"/>
    <mergeCell ref="F135:I135"/>
    <mergeCell ref="F138:I138"/>
    <mergeCell ref="F136:I136"/>
    <mergeCell ref="F137:I137"/>
    <mergeCell ref="F139:I139"/>
    <mergeCell ref="F140:I140"/>
    <mergeCell ref="F141:I141"/>
    <mergeCell ref="F142:I142"/>
    <mergeCell ref="F143:I143"/>
    <mergeCell ref="F144:I144"/>
    <mergeCell ref="F145:I145"/>
    <mergeCell ref="L143:M143"/>
    <mergeCell ref="L144:M144"/>
    <mergeCell ref="L145:M145"/>
    <mergeCell ref="L146:M146"/>
    <mergeCell ref="L147:M147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54"/>
  <sheetViews>
    <sheetView showGridLines="0" tabSelected="1" workbookViewId="0">
      <pane ySplit="1" topLeftCell="A2" activePane="bottomLeft" state="frozen"/>
      <selection pane="bottomLeft" activeCell="AM11" sqref="AM1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8.33203125" style="176" customWidth="1"/>
    <col min="31" max="37" width="9.33203125" hidden="1"/>
  </cols>
  <sheetData>
    <row r="1" spans="1:47" ht="21.75" customHeight="1">
      <c r="A1" s="100"/>
      <c r="B1" s="14"/>
      <c r="C1" s="14"/>
      <c r="D1" s="15" t="s">
        <v>1</v>
      </c>
      <c r="E1" s="14"/>
      <c r="F1" s="16" t="s">
        <v>86</v>
      </c>
      <c r="G1" s="16"/>
      <c r="H1" s="285" t="s">
        <v>87</v>
      </c>
      <c r="I1" s="285"/>
      <c r="J1" s="285"/>
      <c r="K1" s="285"/>
      <c r="L1" s="16" t="s">
        <v>88</v>
      </c>
      <c r="M1" s="14"/>
      <c r="N1" s="14"/>
      <c r="O1" s="15" t="s">
        <v>89</v>
      </c>
      <c r="P1" s="14"/>
      <c r="Q1" s="14"/>
      <c r="R1" s="14"/>
      <c r="S1" s="16" t="s">
        <v>90</v>
      </c>
      <c r="T1" s="16"/>
      <c r="U1" s="100"/>
      <c r="V1" s="100"/>
      <c r="W1" s="17"/>
      <c r="X1" s="17"/>
      <c r="Y1" s="17"/>
      <c r="Z1" s="17"/>
      <c r="AA1" s="17"/>
      <c r="AB1" s="17"/>
      <c r="AC1" s="17"/>
      <c r="AD1" s="100"/>
      <c r="AE1" s="17"/>
      <c r="AF1" s="17"/>
      <c r="AG1" s="17"/>
      <c r="AH1" s="17"/>
      <c r="AI1" s="17"/>
      <c r="AJ1" s="17"/>
      <c r="AK1" s="17"/>
    </row>
    <row r="2" spans="1:47" ht="36.950000000000003" customHeight="1">
      <c r="C2" s="245" t="s">
        <v>6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S2" s="243" t="s">
        <v>7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</row>
    <row r="3" spans="1:47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47" ht="36.950000000000003" customHeight="1">
      <c r="B4" s="24"/>
      <c r="C4" s="241" t="s">
        <v>92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5"/>
      <c r="T4" s="19" t="s">
        <v>11</v>
      </c>
    </row>
    <row r="5" spans="1:47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1:47" ht="25.35" customHeight="1">
      <c r="B6" s="24"/>
      <c r="C6" s="26"/>
      <c r="D6" s="30" t="s">
        <v>14</v>
      </c>
      <c r="E6" s="26"/>
      <c r="F6" s="272" t="str">
        <f>'Rekapitulace stavby'!K6</f>
        <v>Oprava fasády objektů nemocnice Horní Beřkovice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6"/>
      <c r="R6" s="25"/>
    </row>
    <row r="7" spans="1:47" s="1" customFormat="1" ht="32.85" customHeight="1">
      <c r="B7" s="33"/>
      <c r="C7" s="34"/>
      <c r="D7" s="29" t="s">
        <v>93</v>
      </c>
      <c r="E7" s="34"/>
      <c r="F7" s="249" t="s">
        <v>425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34"/>
      <c r="R7" s="35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</row>
    <row r="8" spans="1:47" s="1" customFormat="1" ht="14.45" customHeight="1">
      <c r="B8" s="33"/>
      <c r="C8" s="34"/>
      <c r="D8" s="30" t="s">
        <v>16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17</v>
      </c>
      <c r="N8" s="34"/>
      <c r="O8" s="28" t="s">
        <v>5</v>
      </c>
      <c r="P8" s="34"/>
      <c r="Q8" s="34"/>
      <c r="R8" s="35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</row>
    <row r="9" spans="1:47" s="1" customFormat="1" ht="14.45" customHeight="1">
      <c r="B9" s="33"/>
      <c r="C9" s="34"/>
      <c r="D9" s="30" t="s">
        <v>18</v>
      </c>
      <c r="E9" s="34"/>
      <c r="F9" s="28" t="s">
        <v>26</v>
      </c>
      <c r="G9" s="34"/>
      <c r="H9" s="34"/>
      <c r="I9" s="34"/>
      <c r="J9" s="34"/>
      <c r="K9" s="34"/>
      <c r="L9" s="34"/>
      <c r="M9" s="30" t="s">
        <v>20</v>
      </c>
      <c r="N9" s="34"/>
      <c r="O9" s="274" t="str">
        <f>'Rekapitulace stavby'!AN8</f>
        <v>01/2020</v>
      </c>
      <c r="P9" s="274"/>
      <c r="Q9" s="34"/>
      <c r="R9" s="35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</row>
    <row r="10" spans="1:47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</row>
    <row r="11" spans="1:47" s="1" customFormat="1" ht="14.45" customHeight="1">
      <c r="B11" s="33"/>
      <c r="C11" s="34"/>
      <c r="D11" s="30" t="s">
        <v>21</v>
      </c>
      <c r="E11" s="34"/>
      <c r="F11" s="34"/>
      <c r="G11" s="34"/>
      <c r="H11" s="34"/>
      <c r="I11" s="34"/>
      <c r="J11" s="34"/>
      <c r="K11" s="34"/>
      <c r="L11" s="34"/>
      <c r="M11" s="30" t="s">
        <v>22</v>
      </c>
      <c r="N11" s="34"/>
      <c r="O11" s="247" t="str">
        <f>IF('Rekapitulace stavby'!AN10="","",'Rekapitulace stavby'!AN10)</f>
        <v>00673552</v>
      </c>
      <c r="P11" s="247"/>
      <c r="Q11" s="34"/>
      <c r="R11" s="35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</row>
    <row r="12" spans="1:47" s="1" customFormat="1" ht="18" customHeight="1">
      <c r="B12" s="33"/>
      <c r="C12" s="34"/>
      <c r="D12" s="34"/>
      <c r="E12" s="28" t="str">
        <f>IF('Rekapitulace stavby'!E11="","",'Rekapitulace stavby'!E11)</f>
        <v>PSYCHIATRICKÁ NEMOCNICE HORNÍ BEŘKOVICE</v>
      </c>
      <c r="F12" s="34"/>
      <c r="G12" s="34"/>
      <c r="H12" s="34"/>
      <c r="I12" s="34"/>
      <c r="J12" s="34"/>
      <c r="K12" s="34"/>
      <c r="L12" s="34"/>
      <c r="M12" s="30" t="s">
        <v>24</v>
      </c>
      <c r="N12" s="34"/>
      <c r="O12" s="247" t="str">
        <f>IF('Rekapitulace stavby'!AN11="","",'Rekapitulace stavby'!AN11)</f>
        <v/>
      </c>
      <c r="P12" s="247"/>
      <c r="Q12" s="34"/>
      <c r="R12" s="35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</row>
    <row r="13" spans="1:47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</row>
    <row r="14" spans="1:47" s="1" customFormat="1" ht="14.45" customHeight="1">
      <c r="B14" s="33"/>
      <c r="C14" s="34"/>
      <c r="D14" s="30" t="s">
        <v>25</v>
      </c>
      <c r="E14" s="34"/>
      <c r="F14" s="34"/>
      <c r="G14" s="34"/>
      <c r="H14" s="34"/>
      <c r="I14" s="34"/>
      <c r="J14" s="34"/>
      <c r="K14" s="34"/>
      <c r="L14" s="34"/>
      <c r="M14" s="30" t="s">
        <v>22</v>
      </c>
      <c r="N14" s="34"/>
      <c r="O14" s="247" t="str">
        <f>IF('Rekapitulace stavby'!AN13="","",'Rekapitulace stavby'!AN13)</f>
        <v/>
      </c>
      <c r="P14" s="247"/>
      <c r="Q14" s="34"/>
      <c r="R14" s="35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</row>
    <row r="15" spans="1:47" s="1" customFormat="1" ht="18" customHeight="1">
      <c r="B15" s="33"/>
      <c r="C15" s="34"/>
      <c r="D15" s="34"/>
      <c r="E15" s="28" t="str">
        <f>IF('Rekapitulace stavby'!E14="","",'Rekapitulace stavby'!E14)</f>
        <v xml:space="preserve"> </v>
      </c>
      <c r="F15" s="34"/>
      <c r="G15" s="34"/>
      <c r="H15" s="34"/>
      <c r="I15" s="34"/>
      <c r="J15" s="34"/>
      <c r="K15" s="34"/>
      <c r="L15" s="34"/>
      <c r="M15" s="30" t="s">
        <v>24</v>
      </c>
      <c r="N15" s="34"/>
      <c r="O15" s="247" t="str">
        <f>IF('Rekapitulace stavby'!AN14="","",'Rekapitulace stavby'!AN14)</f>
        <v/>
      </c>
      <c r="P15" s="247"/>
      <c r="Q15" s="34"/>
      <c r="R15" s="35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</row>
    <row r="16" spans="1:47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</row>
    <row r="17" spans="2:47" s="1" customFormat="1" ht="14.45" customHeight="1">
      <c r="B17" s="33"/>
      <c r="C17" s="34"/>
      <c r="D17" s="30" t="s">
        <v>27</v>
      </c>
      <c r="E17" s="34"/>
      <c r="F17" s="34"/>
      <c r="G17" s="34"/>
      <c r="H17" s="34"/>
      <c r="I17" s="34"/>
      <c r="J17" s="34"/>
      <c r="K17" s="34"/>
      <c r="L17" s="34"/>
      <c r="M17" s="30" t="s">
        <v>22</v>
      </c>
      <c r="N17" s="34"/>
      <c r="O17" s="247" t="str">
        <f>IF('Rekapitulace stavby'!AN16="","",'Rekapitulace stavby'!AN16)</f>
        <v/>
      </c>
      <c r="P17" s="247"/>
      <c r="Q17" s="34"/>
      <c r="R17" s="35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</row>
    <row r="18" spans="2:47" s="1" customFormat="1" ht="18" customHeight="1">
      <c r="B18" s="33"/>
      <c r="C18" s="34"/>
      <c r="D18" s="34"/>
      <c r="E18" s="28" t="str">
        <f>IF('Rekapitulace stavby'!E17="","",'Rekapitulace stavby'!E17)</f>
        <v>Starý a partner s.r.o.</v>
      </c>
      <c r="F18" s="34"/>
      <c r="G18" s="34"/>
      <c r="H18" s="34"/>
      <c r="I18" s="34"/>
      <c r="J18" s="34"/>
      <c r="K18" s="34"/>
      <c r="L18" s="34"/>
      <c r="M18" s="30" t="s">
        <v>24</v>
      </c>
      <c r="N18" s="34"/>
      <c r="O18" s="247" t="str">
        <f>IF('Rekapitulace stavby'!AN17="","",'Rekapitulace stavby'!AN17)</f>
        <v/>
      </c>
      <c r="P18" s="247"/>
      <c r="Q18" s="34"/>
      <c r="R18" s="35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</row>
    <row r="19" spans="2:47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</row>
    <row r="20" spans="2:47" s="1" customFormat="1" ht="14.45" customHeight="1">
      <c r="B20" s="33"/>
      <c r="C20" s="34"/>
      <c r="D20" s="30" t="s">
        <v>30</v>
      </c>
      <c r="E20" s="34"/>
      <c r="F20" s="34"/>
      <c r="G20" s="34"/>
      <c r="H20" s="34"/>
      <c r="I20" s="34"/>
      <c r="J20" s="34"/>
      <c r="K20" s="34"/>
      <c r="L20" s="34"/>
      <c r="M20" s="30" t="s">
        <v>22</v>
      </c>
      <c r="N20" s="34"/>
      <c r="O20" s="247" t="str">
        <f>IF('Rekapitulace stavby'!AN19="","",'Rekapitulace stavby'!AN19)</f>
        <v/>
      </c>
      <c r="P20" s="247"/>
      <c r="Q20" s="34"/>
      <c r="R20" s="35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211"/>
      <c r="AD20" s="211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</row>
    <row r="21" spans="2:47" s="1" customFormat="1" ht="18" customHeight="1">
      <c r="B21" s="33"/>
      <c r="C21" s="34"/>
      <c r="D21" s="34"/>
      <c r="E21" s="28" t="str">
        <f>IF('Rekapitulace stavby'!E20="","",'Rekapitulace stavby'!E20)</f>
        <v>ww.rozpoct-staveb.cz</v>
      </c>
      <c r="F21" s="34"/>
      <c r="G21" s="34"/>
      <c r="H21" s="34"/>
      <c r="I21" s="34"/>
      <c r="J21" s="34"/>
      <c r="K21" s="34"/>
      <c r="L21" s="34"/>
      <c r="M21" s="30" t="s">
        <v>24</v>
      </c>
      <c r="N21" s="34"/>
      <c r="O21" s="247" t="str">
        <f>IF('Rekapitulace stavby'!AN20="","",'Rekapitulace stavby'!AN20)</f>
        <v/>
      </c>
      <c r="P21" s="247"/>
      <c r="Q21" s="34"/>
      <c r="R21" s="35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211"/>
      <c r="AD21" s="211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</row>
    <row r="22" spans="2:47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211"/>
      <c r="AD22" s="211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</row>
    <row r="23" spans="2:47" s="1" customFormat="1" ht="14.45" customHeight="1">
      <c r="B23" s="33"/>
      <c r="C23" s="34"/>
      <c r="D23" s="30" t="s">
        <v>32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211"/>
      <c r="AD23" s="211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</row>
    <row r="24" spans="2:47" s="1" customFormat="1" ht="16.5" customHeight="1">
      <c r="B24" s="33"/>
      <c r="C24" s="34"/>
      <c r="D24" s="34"/>
      <c r="E24" s="250" t="s">
        <v>5</v>
      </c>
      <c r="F24" s="250"/>
      <c r="G24" s="250"/>
      <c r="H24" s="250"/>
      <c r="I24" s="250"/>
      <c r="J24" s="250"/>
      <c r="K24" s="250"/>
      <c r="L24" s="250"/>
      <c r="M24" s="34"/>
      <c r="N24" s="34"/>
      <c r="O24" s="34"/>
      <c r="P24" s="34"/>
      <c r="Q24" s="34"/>
      <c r="R24" s="35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211"/>
      <c r="AD24" s="211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</row>
    <row r="25" spans="2:47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211"/>
      <c r="AD25" s="211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</row>
    <row r="26" spans="2:47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211"/>
      <c r="AD26" s="211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</row>
    <row r="27" spans="2:47" s="1" customFormat="1" ht="14.45" customHeight="1">
      <c r="B27" s="33"/>
      <c r="C27" s="34"/>
      <c r="D27" s="101" t="s">
        <v>94</v>
      </c>
      <c r="E27" s="34"/>
      <c r="F27" s="34"/>
      <c r="G27" s="34"/>
      <c r="H27" s="34"/>
      <c r="I27" s="34"/>
      <c r="J27" s="34"/>
      <c r="K27" s="34"/>
      <c r="L27" s="34"/>
      <c r="M27" s="228">
        <f>N88</f>
        <v>0</v>
      </c>
      <c r="N27" s="228"/>
      <c r="O27" s="228"/>
      <c r="P27" s="228"/>
      <c r="Q27" s="34"/>
      <c r="R27" s="35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210">
        <f>M30</f>
        <v>0</v>
      </c>
      <c r="AD27" s="211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</row>
    <row r="28" spans="2:47" s="1" customFormat="1" ht="14.45" customHeight="1">
      <c r="B28" s="33"/>
      <c r="C28" s="34"/>
      <c r="D28" s="32" t="s">
        <v>95</v>
      </c>
      <c r="E28" s="34"/>
      <c r="F28" s="34"/>
      <c r="G28" s="34"/>
      <c r="H28" s="34"/>
      <c r="I28" s="34"/>
      <c r="J28" s="34"/>
      <c r="K28" s="34"/>
      <c r="L28" s="34"/>
      <c r="M28" s="228">
        <f>N94</f>
        <v>0</v>
      </c>
      <c r="N28" s="228"/>
      <c r="O28" s="228"/>
      <c r="P28" s="228"/>
      <c r="Q28" s="34"/>
      <c r="R28" s="35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211"/>
      <c r="AD28" s="211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</row>
    <row r="29" spans="2:47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211"/>
      <c r="AD29" s="211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</row>
    <row r="30" spans="2:47" s="1" customFormat="1" ht="25.35" customHeight="1">
      <c r="B30" s="33"/>
      <c r="C30" s="34"/>
      <c r="D30" s="102" t="s">
        <v>35</v>
      </c>
      <c r="E30" s="34"/>
      <c r="F30" s="34"/>
      <c r="G30" s="34"/>
      <c r="H30" s="34"/>
      <c r="I30" s="34"/>
      <c r="J30" s="34"/>
      <c r="K30" s="34"/>
      <c r="L30" s="34"/>
      <c r="M30" s="286">
        <f>ROUND(M27+M28,2)</f>
        <v>0</v>
      </c>
      <c r="N30" s="271"/>
      <c r="O30" s="271"/>
      <c r="P30" s="271"/>
      <c r="Q30" s="34"/>
      <c r="R30" s="35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209">
        <f>M30</f>
        <v>0</v>
      </c>
      <c r="AD30" s="211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</row>
    <row r="31" spans="2:47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211"/>
      <c r="AD31" s="211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</row>
    <row r="32" spans="2:47" s="1" customFormat="1" ht="14.45" customHeight="1">
      <c r="B32" s="33"/>
      <c r="C32" s="34"/>
      <c r="D32" s="40" t="s">
        <v>36</v>
      </c>
      <c r="E32" s="40" t="s">
        <v>37</v>
      </c>
      <c r="F32" s="41">
        <v>0.21</v>
      </c>
      <c r="G32" s="103" t="s">
        <v>38</v>
      </c>
      <c r="H32" s="287">
        <f>M27</f>
        <v>0</v>
      </c>
      <c r="I32" s="271"/>
      <c r="J32" s="271"/>
      <c r="K32" s="34"/>
      <c r="L32" s="34"/>
      <c r="M32" s="287">
        <f>H32*0.21</f>
        <v>0</v>
      </c>
      <c r="N32" s="271"/>
      <c r="O32" s="271"/>
      <c r="P32" s="271"/>
      <c r="Q32" s="34"/>
      <c r="R32" s="35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211"/>
      <c r="AD32" s="211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</row>
    <row r="33" spans="2:47" s="1" customFormat="1" ht="14.45" customHeight="1">
      <c r="B33" s="33"/>
      <c r="C33" s="34"/>
      <c r="D33" s="34"/>
      <c r="E33" s="40" t="s">
        <v>39</v>
      </c>
      <c r="F33" s="41">
        <v>0.15</v>
      </c>
      <c r="G33" s="103" t="s">
        <v>38</v>
      </c>
      <c r="H33" s="287" t="e">
        <f>ROUND((SUM(#REF!)+SUM(#REF!)), 2)</f>
        <v>#REF!</v>
      </c>
      <c r="I33" s="271"/>
      <c r="J33" s="271"/>
      <c r="K33" s="34"/>
      <c r="L33" s="34"/>
      <c r="M33" s="287" t="e">
        <f>ROUND(ROUND((SUM(#REF!)+SUM(#REF!)), 2)*F33, 2)</f>
        <v>#REF!</v>
      </c>
      <c r="N33" s="271"/>
      <c r="O33" s="271"/>
      <c r="P33" s="271"/>
      <c r="Q33" s="34"/>
      <c r="R33" s="35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</row>
    <row r="34" spans="2:47" s="1" customFormat="1" ht="14.45" hidden="1" customHeight="1">
      <c r="B34" s="33"/>
      <c r="C34" s="34"/>
      <c r="D34" s="34"/>
      <c r="E34" s="40" t="s">
        <v>40</v>
      </c>
      <c r="F34" s="41">
        <v>0.21</v>
      </c>
      <c r="G34" s="103" t="s">
        <v>38</v>
      </c>
      <c r="H34" s="287">
        <f>ROUND((SUM(AE94:AE95)+SUM(AE113:AE153)), 2)</f>
        <v>0</v>
      </c>
      <c r="I34" s="271"/>
      <c r="J34" s="271"/>
      <c r="K34" s="34"/>
      <c r="L34" s="34"/>
      <c r="M34" s="287">
        <v>0</v>
      </c>
      <c r="N34" s="271"/>
      <c r="O34" s="271"/>
      <c r="P34" s="271"/>
      <c r="Q34" s="34"/>
      <c r="R34" s="35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</row>
    <row r="35" spans="2:47" s="1" customFormat="1" ht="14.45" hidden="1" customHeight="1">
      <c r="B35" s="33"/>
      <c r="C35" s="34"/>
      <c r="D35" s="34"/>
      <c r="E35" s="40" t="s">
        <v>41</v>
      </c>
      <c r="F35" s="41">
        <v>0.15</v>
      </c>
      <c r="G35" s="103" t="s">
        <v>38</v>
      </c>
      <c r="H35" s="287">
        <f>ROUND((SUM(AF94:AF95)+SUM(AF113:AF153)), 2)</f>
        <v>0</v>
      </c>
      <c r="I35" s="271"/>
      <c r="J35" s="271"/>
      <c r="K35" s="34"/>
      <c r="L35" s="34"/>
      <c r="M35" s="287">
        <v>0</v>
      </c>
      <c r="N35" s="271"/>
      <c r="O35" s="271"/>
      <c r="P35" s="271"/>
      <c r="Q35" s="34"/>
      <c r="R35" s="35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</row>
    <row r="36" spans="2:47" s="1" customFormat="1" ht="14.45" hidden="1" customHeight="1">
      <c r="B36" s="33"/>
      <c r="C36" s="34"/>
      <c r="D36" s="34"/>
      <c r="E36" s="40" t="s">
        <v>42</v>
      </c>
      <c r="F36" s="41">
        <v>0</v>
      </c>
      <c r="G36" s="103" t="s">
        <v>38</v>
      </c>
      <c r="H36" s="287">
        <f>ROUND((SUM(AG94:AG95)+SUM(AG113:AG153)), 2)</f>
        <v>0</v>
      </c>
      <c r="I36" s="271"/>
      <c r="J36" s="271"/>
      <c r="K36" s="34"/>
      <c r="L36" s="34"/>
      <c r="M36" s="287">
        <v>0</v>
      </c>
      <c r="N36" s="271"/>
      <c r="O36" s="271"/>
      <c r="P36" s="271"/>
      <c r="Q36" s="34"/>
      <c r="R36" s="35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</row>
    <row r="37" spans="2:47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</row>
    <row r="38" spans="2:47" s="1" customFormat="1" ht="25.35" customHeight="1">
      <c r="B38" s="33"/>
      <c r="C38" s="99"/>
      <c r="D38" s="104" t="s">
        <v>43</v>
      </c>
      <c r="E38" s="73"/>
      <c r="F38" s="73"/>
      <c r="G38" s="105" t="s">
        <v>44</v>
      </c>
      <c r="H38" s="106" t="s">
        <v>45</v>
      </c>
      <c r="I38" s="73"/>
      <c r="J38" s="73"/>
      <c r="K38" s="73"/>
      <c r="L38" s="288">
        <f>M30+M32</f>
        <v>0</v>
      </c>
      <c r="M38" s="288"/>
      <c r="N38" s="288"/>
      <c r="O38" s="288"/>
      <c r="P38" s="289"/>
      <c r="Q38" s="99"/>
      <c r="R38" s="35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</row>
    <row r="39" spans="2:47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</row>
    <row r="40" spans="2:47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</row>
    <row r="41" spans="2:47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</row>
    <row r="42" spans="2:47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</row>
    <row r="43" spans="2:47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</row>
    <row r="44" spans="2:47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</row>
    <row r="45" spans="2:47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</row>
    <row r="46" spans="2:47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</row>
    <row r="47" spans="2:47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</row>
    <row r="48" spans="2:47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</row>
    <row r="49" spans="2:47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</row>
    <row r="50" spans="2:47" s="1" customFormat="1" ht="15">
      <c r="B50" s="33"/>
      <c r="C50" s="34"/>
      <c r="D50" s="48" t="s">
        <v>46</v>
      </c>
      <c r="E50" s="49"/>
      <c r="F50" s="49"/>
      <c r="G50" s="49"/>
      <c r="H50" s="50"/>
      <c r="I50" s="34"/>
      <c r="J50" s="48" t="s">
        <v>47</v>
      </c>
      <c r="K50" s="49"/>
      <c r="L50" s="49"/>
      <c r="M50" s="49"/>
      <c r="N50" s="49"/>
      <c r="O50" s="49"/>
      <c r="P50" s="50"/>
      <c r="Q50" s="34"/>
      <c r="R50" s="35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</row>
    <row r="51" spans="2:47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</row>
    <row r="52" spans="2:47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</row>
    <row r="53" spans="2:47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</row>
    <row r="54" spans="2:47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</row>
    <row r="55" spans="2:47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</row>
    <row r="56" spans="2:47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</row>
    <row r="57" spans="2:47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</row>
    <row r="58" spans="2:47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</row>
    <row r="59" spans="2:47" s="1" customFormat="1" ht="15">
      <c r="B59" s="33"/>
      <c r="C59" s="34"/>
      <c r="D59" s="53" t="s">
        <v>48</v>
      </c>
      <c r="E59" s="54"/>
      <c r="F59" s="54"/>
      <c r="G59" s="55" t="s">
        <v>49</v>
      </c>
      <c r="H59" s="56"/>
      <c r="I59" s="34"/>
      <c r="J59" s="53" t="s">
        <v>48</v>
      </c>
      <c r="K59" s="54"/>
      <c r="L59" s="54"/>
      <c r="M59" s="54"/>
      <c r="N59" s="55" t="s">
        <v>49</v>
      </c>
      <c r="O59" s="54"/>
      <c r="P59" s="56"/>
      <c r="Q59" s="34"/>
      <c r="R59" s="35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</row>
    <row r="60" spans="2:47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</row>
    <row r="61" spans="2:47" s="1" customFormat="1" ht="15">
      <c r="B61" s="33"/>
      <c r="C61" s="34"/>
      <c r="D61" s="48" t="s">
        <v>50</v>
      </c>
      <c r="E61" s="49"/>
      <c r="F61" s="49"/>
      <c r="G61" s="49"/>
      <c r="H61" s="50"/>
      <c r="I61" s="34"/>
      <c r="J61" s="48" t="s">
        <v>51</v>
      </c>
      <c r="K61" s="49"/>
      <c r="L61" s="49"/>
      <c r="M61" s="49"/>
      <c r="N61" s="49"/>
      <c r="O61" s="49"/>
      <c r="P61" s="50"/>
      <c r="Q61" s="34"/>
      <c r="R61" s="35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</row>
    <row r="62" spans="2:47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</row>
    <row r="63" spans="2:47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47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46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46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46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46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46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46" s="1" customFormat="1" ht="15">
      <c r="B70" s="33"/>
      <c r="C70" s="34"/>
      <c r="D70" s="53" t="s">
        <v>48</v>
      </c>
      <c r="E70" s="54"/>
      <c r="F70" s="54"/>
      <c r="G70" s="55" t="s">
        <v>49</v>
      </c>
      <c r="H70" s="56"/>
      <c r="I70" s="34"/>
      <c r="J70" s="53" t="s">
        <v>48</v>
      </c>
      <c r="K70" s="54"/>
      <c r="L70" s="54"/>
      <c r="M70" s="54"/>
      <c r="N70" s="55" t="s">
        <v>49</v>
      </c>
      <c r="O70" s="54"/>
      <c r="P70" s="56"/>
      <c r="Q70" s="34"/>
      <c r="R70" s="35"/>
    </row>
    <row r="71" spans="2:46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46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46" s="1" customFormat="1" ht="36.950000000000003" customHeight="1">
      <c r="B76" s="33"/>
      <c r="C76" s="241" t="s">
        <v>96</v>
      </c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35"/>
    </row>
    <row r="77" spans="2:46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46" s="1" customFormat="1" ht="30" customHeight="1">
      <c r="B78" s="33"/>
      <c r="C78" s="30" t="s">
        <v>14</v>
      </c>
      <c r="D78" s="34"/>
      <c r="E78" s="34"/>
      <c r="F78" s="272" t="str">
        <f>F6</f>
        <v>Oprava fasády objektů nemocnice Horní Beřkovice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34"/>
      <c r="R78" s="35"/>
    </row>
    <row r="79" spans="2:46" s="1" customFormat="1" ht="36.950000000000003" customHeight="1">
      <c r="B79" s="33"/>
      <c r="C79" s="67" t="s">
        <v>93</v>
      </c>
      <c r="D79" s="34"/>
      <c r="E79" s="34"/>
      <c r="F79" s="234" t="str">
        <f>F7</f>
        <v>2018/010/f - Elektroinstalace Budova H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34"/>
      <c r="R79" s="35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</row>
    <row r="80" spans="2:46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</row>
    <row r="81" spans="2:46" s="1" customFormat="1" ht="18" customHeight="1">
      <c r="B81" s="33"/>
      <c r="C81" s="30" t="s">
        <v>18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20</v>
      </c>
      <c r="L81" s="34"/>
      <c r="M81" s="274" t="str">
        <f>IF(O9="","",O9)</f>
        <v>01/2020</v>
      </c>
      <c r="N81" s="274"/>
      <c r="O81" s="274"/>
      <c r="P81" s="274"/>
      <c r="Q81" s="34"/>
      <c r="R81" s="35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</row>
    <row r="82" spans="2:46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</row>
    <row r="83" spans="2:46" s="1" customFormat="1" ht="15">
      <c r="B83" s="33"/>
      <c r="C83" s="30" t="s">
        <v>21</v>
      </c>
      <c r="D83" s="34"/>
      <c r="E83" s="34"/>
      <c r="F83" s="28" t="str">
        <f>E12</f>
        <v>PSYCHIATRICKÁ NEMOCNICE HORNÍ BEŘKOVICE</v>
      </c>
      <c r="G83" s="34"/>
      <c r="H83" s="34"/>
      <c r="I83" s="34"/>
      <c r="J83" s="34"/>
      <c r="K83" s="30" t="s">
        <v>27</v>
      </c>
      <c r="L83" s="34"/>
      <c r="M83" s="247" t="str">
        <f>E18</f>
        <v>Starý a partner s.r.o.</v>
      </c>
      <c r="N83" s="247"/>
      <c r="O83" s="247"/>
      <c r="P83" s="247"/>
      <c r="Q83" s="247"/>
      <c r="R83" s="35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</row>
    <row r="84" spans="2:46" s="1" customFormat="1" ht="14.45" customHeight="1">
      <c r="B84" s="33"/>
      <c r="C84" s="30" t="s">
        <v>25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30</v>
      </c>
      <c r="L84" s="34"/>
      <c r="M84" s="247" t="str">
        <f>E21</f>
        <v>ww.rozpoct-staveb.cz</v>
      </c>
      <c r="N84" s="247"/>
      <c r="O84" s="247"/>
      <c r="P84" s="247"/>
      <c r="Q84" s="247"/>
      <c r="R84" s="35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</row>
    <row r="85" spans="2:46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</row>
    <row r="86" spans="2:46" s="1" customFormat="1" ht="29.25" customHeight="1">
      <c r="B86" s="33"/>
      <c r="C86" s="283" t="s">
        <v>97</v>
      </c>
      <c r="D86" s="284"/>
      <c r="E86" s="284"/>
      <c r="F86" s="284"/>
      <c r="G86" s="284"/>
      <c r="H86" s="99"/>
      <c r="I86" s="99"/>
      <c r="J86" s="99"/>
      <c r="K86" s="99"/>
      <c r="L86" s="99"/>
      <c r="M86" s="99"/>
      <c r="N86" s="283" t="s">
        <v>98</v>
      </c>
      <c r="O86" s="284"/>
      <c r="P86" s="284"/>
      <c r="Q86" s="284"/>
      <c r="R86" s="35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</row>
    <row r="87" spans="2:46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</row>
    <row r="88" spans="2:46" s="1" customFormat="1" ht="29.25" customHeight="1">
      <c r="B88" s="33"/>
      <c r="C88" s="107" t="s">
        <v>99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23">
        <f>N113</f>
        <v>0</v>
      </c>
      <c r="O88" s="281"/>
      <c r="P88" s="281"/>
      <c r="Q88" s="281"/>
      <c r="R88" s="35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</row>
    <row r="89" spans="2:46" s="6" customFormat="1" ht="24.95" customHeight="1">
      <c r="B89" s="108"/>
      <c r="C89" s="109"/>
      <c r="D89" s="110" t="s">
        <v>253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79">
        <f>N114</f>
        <v>0</v>
      </c>
      <c r="O89" s="280"/>
      <c r="P89" s="280"/>
      <c r="Q89" s="280"/>
      <c r="R89" s="111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</row>
    <row r="90" spans="2:46" s="7" customFormat="1" ht="19.899999999999999" customHeight="1">
      <c r="B90" s="112"/>
      <c r="C90" s="113"/>
      <c r="D90" s="114" t="s">
        <v>254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77">
        <f>N115</f>
        <v>0</v>
      </c>
      <c r="O90" s="278"/>
      <c r="P90" s="278"/>
      <c r="Q90" s="278"/>
      <c r="R90" s="11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</row>
    <row r="91" spans="2:46" s="7" customFormat="1" ht="19.899999999999999" customHeight="1">
      <c r="B91" s="112"/>
      <c r="C91" s="113"/>
      <c r="D91" s="114" t="s">
        <v>254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77">
        <f>N133</f>
        <v>0</v>
      </c>
      <c r="O91" s="278"/>
      <c r="P91" s="278"/>
      <c r="Q91" s="278"/>
      <c r="R91" s="11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</row>
    <row r="92" spans="2:46" s="7" customFormat="1" ht="19.899999999999999" customHeight="1">
      <c r="B92" s="112"/>
      <c r="C92" s="113"/>
      <c r="D92" s="114" t="s">
        <v>254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77">
        <f>N151</f>
        <v>0</v>
      </c>
      <c r="O92" s="278"/>
      <c r="P92" s="278"/>
      <c r="Q92" s="278"/>
      <c r="R92" s="11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</row>
    <row r="93" spans="2:46" s="1" customFormat="1" ht="21.75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</row>
    <row r="94" spans="2:46" s="1" customFormat="1" ht="29.25" customHeight="1">
      <c r="B94" s="33"/>
      <c r="C94" s="107" t="s">
        <v>109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281">
        <v>0</v>
      </c>
      <c r="O94" s="282"/>
      <c r="P94" s="282"/>
      <c r="Q94" s="282"/>
      <c r="R94" s="35"/>
      <c r="S94" s="183"/>
      <c r="T94" s="186"/>
      <c r="U94" s="187" t="s">
        <v>36</v>
      </c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</row>
    <row r="95" spans="2:46" s="1" customFormat="1" ht="18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</row>
    <row r="96" spans="2:46" s="1" customFormat="1" ht="29.25" customHeight="1">
      <c r="B96" s="33"/>
      <c r="C96" s="98" t="s">
        <v>85</v>
      </c>
      <c r="D96" s="99"/>
      <c r="E96" s="99"/>
      <c r="F96" s="99"/>
      <c r="G96" s="99"/>
      <c r="H96" s="99"/>
      <c r="I96" s="99"/>
      <c r="J96" s="99"/>
      <c r="K96" s="99"/>
      <c r="L96" s="227">
        <f>ROUND(SUM(N88+N94),2)</f>
        <v>0</v>
      </c>
      <c r="M96" s="227"/>
      <c r="N96" s="227"/>
      <c r="O96" s="227"/>
      <c r="P96" s="227"/>
      <c r="Q96" s="227"/>
      <c r="R96" s="35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</row>
    <row r="97" spans="2:46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9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</row>
    <row r="98" spans="2:46"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</row>
    <row r="99" spans="2:46"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</row>
    <row r="100" spans="2:46"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</row>
    <row r="101" spans="2:46" s="1" customFormat="1" ht="6.95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2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</row>
    <row r="102" spans="2:46" s="1" customFormat="1" ht="36.950000000000003" customHeight="1">
      <c r="B102" s="33"/>
      <c r="C102" s="241" t="s">
        <v>110</v>
      </c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35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</row>
    <row r="103" spans="2:46" s="1" customFormat="1" ht="6.95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</row>
    <row r="104" spans="2:46" s="1" customFormat="1" ht="30" customHeight="1">
      <c r="B104" s="33"/>
      <c r="C104" s="30" t="s">
        <v>14</v>
      </c>
      <c r="D104" s="34"/>
      <c r="E104" s="34"/>
      <c r="F104" s="272" t="str">
        <f>F6</f>
        <v>Oprava fasády objektů nemocnice Horní Beřkovice</v>
      </c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34"/>
      <c r="R104" s="35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</row>
    <row r="105" spans="2:46" s="1" customFormat="1" ht="36.950000000000003" customHeight="1">
      <c r="B105" s="33"/>
      <c r="C105" s="67" t="s">
        <v>93</v>
      </c>
      <c r="D105" s="34"/>
      <c r="E105" s="34"/>
      <c r="F105" s="234" t="str">
        <f>F7</f>
        <v>2018/010/f - Elektroinstalace Budova H</v>
      </c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34"/>
      <c r="R105" s="35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</row>
    <row r="106" spans="2:46" s="1" customFormat="1" ht="6.95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</row>
    <row r="107" spans="2:46" s="1" customFormat="1" ht="18" customHeight="1">
      <c r="B107" s="33"/>
      <c r="C107" s="30" t="s">
        <v>18</v>
      </c>
      <c r="D107" s="34"/>
      <c r="E107" s="34"/>
      <c r="F107" s="28" t="str">
        <f>F9</f>
        <v xml:space="preserve"> </v>
      </c>
      <c r="G107" s="34"/>
      <c r="H107" s="34"/>
      <c r="I107" s="34"/>
      <c r="J107" s="34"/>
      <c r="K107" s="30" t="s">
        <v>20</v>
      </c>
      <c r="L107" s="34"/>
      <c r="M107" s="274" t="str">
        <f>IF(O9="","",O9)</f>
        <v>01/2020</v>
      </c>
      <c r="N107" s="274"/>
      <c r="O107" s="274"/>
      <c r="P107" s="274"/>
      <c r="Q107" s="34"/>
      <c r="R107" s="35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</row>
    <row r="108" spans="2:46" s="1" customFormat="1" ht="6.9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</row>
    <row r="109" spans="2:46" s="1" customFormat="1" ht="15">
      <c r="B109" s="33"/>
      <c r="C109" s="30" t="s">
        <v>21</v>
      </c>
      <c r="D109" s="34"/>
      <c r="E109" s="34"/>
      <c r="F109" s="28" t="str">
        <f>E12</f>
        <v>PSYCHIATRICKÁ NEMOCNICE HORNÍ BEŘKOVICE</v>
      </c>
      <c r="G109" s="34"/>
      <c r="H109" s="34"/>
      <c r="I109" s="34"/>
      <c r="J109" s="34"/>
      <c r="K109" s="30" t="s">
        <v>27</v>
      </c>
      <c r="L109" s="34"/>
      <c r="M109" s="247" t="str">
        <f>E18</f>
        <v>Starý a partner s.r.o.</v>
      </c>
      <c r="N109" s="247"/>
      <c r="O109" s="247"/>
      <c r="P109" s="247"/>
      <c r="Q109" s="247"/>
      <c r="R109" s="35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</row>
    <row r="110" spans="2:46" s="1" customFormat="1" ht="14.45" customHeight="1">
      <c r="B110" s="33"/>
      <c r="C110" s="30" t="s">
        <v>25</v>
      </c>
      <c r="D110" s="34"/>
      <c r="E110" s="34"/>
      <c r="F110" s="28" t="str">
        <f>IF(E15="","",E15)</f>
        <v xml:space="preserve"> </v>
      </c>
      <c r="G110" s="34"/>
      <c r="H110" s="34"/>
      <c r="I110" s="34"/>
      <c r="J110" s="34"/>
      <c r="K110" s="30" t="s">
        <v>30</v>
      </c>
      <c r="L110" s="34"/>
      <c r="M110" s="247" t="str">
        <f>E21</f>
        <v>ww.rozpoct-staveb.cz</v>
      </c>
      <c r="N110" s="247"/>
      <c r="O110" s="247"/>
      <c r="P110" s="247"/>
      <c r="Q110" s="247"/>
      <c r="R110" s="35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</row>
    <row r="111" spans="2:46" s="1" customFormat="1" ht="10.3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</row>
    <row r="112" spans="2:46" s="8" customFormat="1" ht="29.25" customHeight="1">
      <c r="B112" s="118"/>
      <c r="C112" s="119" t="s">
        <v>111</v>
      </c>
      <c r="D112" s="120" t="s">
        <v>112</v>
      </c>
      <c r="E112" s="120" t="s">
        <v>54</v>
      </c>
      <c r="F112" s="275" t="s">
        <v>113</v>
      </c>
      <c r="G112" s="275"/>
      <c r="H112" s="275"/>
      <c r="I112" s="275"/>
      <c r="J112" s="120" t="s">
        <v>114</v>
      </c>
      <c r="K112" s="120" t="s">
        <v>115</v>
      </c>
      <c r="L112" s="275" t="s">
        <v>116</v>
      </c>
      <c r="M112" s="275"/>
      <c r="N112" s="275" t="s">
        <v>98</v>
      </c>
      <c r="O112" s="275"/>
      <c r="P112" s="275"/>
      <c r="Q112" s="276"/>
      <c r="R112" s="121"/>
      <c r="S112" s="189"/>
      <c r="T112" s="190" t="s">
        <v>117</v>
      </c>
      <c r="U112" s="191" t="s">
        <v>36</v>
      </c>
      <c r="V112" s="191" t="s">
        <v>118</v>
      </c>
      <c r="W112" s="191" t="s">
        <v>119</v>
      </c>
      <c r="X112" s="191" t="s">
        <v>120</v>
      </c>
      <c r="Y112" s="191" t="s">
        <v>121</v>
      </c>
      <c r="Z112" s="191" t="s">
        <v>122</v>
      </c>
      <c r="AA112" s="192" t="s">
        <v>123</v>
      </c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</row>
    <row r="113" spans="2:46" s="1" customFormat="1" ht="29.25" customHeight="1">
      <c r="B113" s="33"/>
      <c r="C113" s="78" t="s">
        <v>94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267">
        <f>AI113</f>
        <v>0</v>
      </c>
      <c r="O113" s="268"/>
      <c r="P113" s="268"/>
      <c r="Q113" s="268"/>
      <c r="R113" s="35"/>
      <c r="S113" s="183"/>
      <c r="T113" s="193"/>
      <c r="U113" s="194"/>
      <c r="V113" s="194"/>
      <c r="W113" s="195">
        <f>W114</f>
        <v>0</v>
      </c>
      <c r="X113" s="194"/>
      <c r="Y113" s="195">
        <f>Y114</f>
        <v>0</v>
      </c>
      <c r="Z113" s="194"/>
      <c r="AA113" s="196">
        <f>AA114</f>
        <v>0</v>
      </c>
      <c r="AB113" s="183"/>
      <c r="AC113" s="183"/>
      <c r="AD113" s="183"/>
      <c r="AE113" s="183"/>
      <c r="AF113" s="183"/>
      <c r="AG113" s="183"/>
      <c r="AH113" s="183"/>
      <c r="AI113" s="197">
        <f>AI114</f>
        <v>0</v>
      </c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</row>
    <row r="114" spans="2:46" s="9" customFormat="1" ht="37.35" customHeight="1">
      <c r="B114" s="125"/>
      <c r="C114" s="126"/>
      <c r="D114" s="127" t="s">
        <v>253</v>
      </c>
      <c r="E114" s="127"/>
      <c r="F114" s="127"/>
      <c r="G114" s="127"/>
      <c r="H114" s="127"/>
      <c r="I114" s="127"/>
      <c r="J114" s="127"/>
      <c r="K114" s="127"/>
      <c r="L114" s="127"/>
      <c r="M114" s="127"/>
      <c r="N114" s="299">
        <f>AI114</f>
        <v>0</v>
      </c>
      <c r="O114" s="279"/>
      <c r="P114" s="279"/>
      <c r="Q114" s="279"/>
      <c r="R114" s="128"/>
      <c r="S114" s="198"/>
      <c r="T114" s="199"/>
      <c r="U114" s="200"/>
      <c r="V114" s="200"/>
      <c r="W114" s="201">
        <f>W115+W133+W151</f>
        <v>0</v>
      </c>
      <c r="X114" s="200"/>
      <c r="Y114" s="201">
        <f>Y115+Y133+Y151</f>
        <v>0</v>
      </c>
      <c r="Z114" s="200"/>
      <c r="AA114" s="202">
        <f>AA115+AA133+AA151</f>
        <v>0</v>
      </c>
      <c r="AB114" s="198"/>
      <c r="AC114" s="198"/>
      <c r="AD114" s="198"/>
      <c r="AE114" s="198"/>
      <c r="AF114" s="198"/>
      <c r="AG114" s="198"/>
      <c r="AH114" s="198"/>
      <c r="AI114" s="203">
        <f>AI115+AI133+AI151</f>
        <v>0</v>
      </c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</row>
    <row r="115" spans="2:46" s="9" customFormat="1" ht="19.899999999999999" customHeight="1">
      <c r="B115" s="125"/>
      <c r="C115" s="126"/>
      <c r="D115" s="134" t="s">
        <v>254</v>
      </c>
      <c r="E115" s="134"/>
      <c r="F115" s="134"/>
      <c r="G115" s="134"/>
      <c r="H115" s="134"/>
      <c r="I115" s="134"/>
      <c r="J115" s="134"/>
      <c r="K115" s="134"/>
      <c r="L115" s="134"/>
      <c r="M115" s="134"/>
      <c r="N115" s="263">
        <f>AI115</f>
        <v>0</v>
      </c>
      <c r="O115" s="264"/>
      <c r="P115" s="264"/>
      <c r="Q115" s="264"/>
      <c r="R115" s="128"/>
      <c r="S115" s="198"/>
      <c r="T115" s="199"/>
      <c r="U115" s="200"/>
      <c r="V115" s="200"/>
      <c r="W115" s="201">
        <f>SUM(W116:W132)</f>
        <v>0</v>
      </c>
      <c r="X115" s="200"/>
      <c r="Y115" s="201">
        <f>SUM(Y116:Y132)</f>
        <v>0</v>
      </c>
      <c r="Z115" s="200"/>
      <c r="AA115" s="202">
        <f>SUM(AA116:AA132)</f>
        <v>0</v>
      </c>
      <c r="AB115" s="198"/>
      <c r="AC115" s="198"/>
      <c r="AD115" s="198"/>
      <c r="AE115" s="198"/>
      <c r="AF115" s="198"/>
      <c r="AG115" s="198"/>
      <c r="AH115" s="198"/>
      <c r="AI115" s="203">
        <f>SUM(AI116:AI132)</f>
        <v>0</v>
      </c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</row>
    <row r="116" spans="2:46" s="1" customFormat="1" ht="16.5" customHeight="1">
      <c r="B116" s="135"/>
      <c r="C116" s="136" t="s">
        <v>73</v>
      </c>
      <c r="D116" s="136" t="s">
        <v>125</v>
      </c>
      <c r="E116" s="137" t="s">
        <v>255</v>
      </c>
      <c r="F116" s="258" t="s">
        <v>256</v>
      </c>
      <c r="G116" s="258"/>
      <c r="H116" s="258"/>
      <c r="I116" s="258"/>
      <c r="J116" s="138" t="s">
        <v>257</v>
      </c>
      <c r="K116" s="139">
        <v>1</v>
      </c>
      <c r="L116" s="251">
        <v>0</v>
      </c>
      <c r="M116" s="251"/>
      <c r="N116" s="251">
        <f t="shared" ref="N116:N132" si="0">ROUND(L116*K116,2)</f>
        <v>0</v>
      </c>
      <c r="O116" s="251"/>
      <c r="P116" s="251"/>
      <c r="Q116" s="251"/>
      <c r="R116" s="140"/>
      <c r="S116" s="183"/>
      <c r="T116" s="204" t="s">
        <v>5</v>
      </c>
      <c r="U116" s="205" t="s">
        <v>37</v>
      </c>
      <c r="V116" s="206">
        <v>0</v>
      </c>
      <c r="W116" s="206">
        <f t="shared" ref="W116:W132" si="1">V116*K116</f>
        <v>0</v>
      </c>
      <c r="X116" s="206">
        <v>0</v>
      </c>
      <c r="Y116" s="206">
        <f t="shared" ref="Y116:Y132" si="2">X116*K116</f>
        <v>0</v>
      </c>
      <c r="Z116" s="206">
        <v>0</v>
      </c>
      <c r="AA116" s="207">
        <f t="shared" ref="AA116:AA132" si="3">Z116*K116</f>
        <v>0</v>
      </c>
      <c r="AB116" s="183"/>
      <c r="AC116" s="183"/>
      <c r="AD116" s="183"/>
      <c r="AE116" s="203">
        <f t="shared" ref="AE116:AE132" si="4">IF(U116="zákl. přenesená",N116,0)</f>
        <v>0</v>
      </c>
      <c r="AF116" s="203">
        <f t="shared" ref="AF116:AF132" si="5">IF(U116="sníž. přenesená",N116,0)</f>
        <v>0</v>
      </c>
      <c r="AG116" s="203">
        <f t="shared" ref="AG116:AG132" si="6">IF(U116="nulová",N116,0)</f>
        <v>0</v>
      </c>
      <c r="AH116" s="208" t="s">
        <v>73</v>
      </c>
      <c r="AI116" s="203">
        <f t="shared" ref="AI116:AI132" si="7">ROUND(L116*K116,2)</f>
        <v>0</v>
      </c>
      <c r="AJ116" s="208" t="s">
        <v>127</v>
      </c>
      <c r="AK116" s="208" t="s">
        <v>91</v>
      </c>
      <c r="AL116" s="183"/>
      <c r="AM116" s="183"/>
      <c r="AN116" s="183"/>
      <c r="AO116" s="183"/>
      <c r="AP116" s="183"/>
      <c r="AQ116" s="183"/>
      <c r="AR116" s="183"/>
      <c r="AS116" s="183"/>
      <c r="AT116" s="183"/>
    </row>
    <row r="117" spans="2:46" s="1" customFormat="1" ht="16.5" customHeight="1">
      <c r="B117" s="135"/>
      <c r="C117" s="136" t="s">
        <v>91</v>
      </c>
      <c r="D117" s="136" t="s">
        <v>125</v>
      </c>
      <c r="E117" s="137" t="s">
        <v>258</v>
      </c>
      <c r="F117" s="258" t="s">
        <v>259</v>
      </c>
      <c r="G117" s="258"/>
      <c r="H117" s="258"/>
      <c r="I117" s="258"/>
      <c r="J117" s="138" t="s">
        <v>257</v>
      </c>
      <c r="K117" s="139">
        <v>1</v>
      </c>
      <c r="L117" s="251">
        <v>0</v>
      </c>
      <c r="M117" s="251"/>
      <c r="N117" s="251">
        <f t="shared" si="0"/>
        <v>0</v>
      </c>
      <c r="O117" s="251"/>
      <c r="P117" s="251"/>
      <c r="Q117" s="251"/>
      <c r="R117" s="140"/>
      <c r="S117" s="183"/>
      <c r="T117" s="204" t="s">
        <v>5</v>
      </c>
      <c r="U117" s="205" t="s">
        <v>37</v>
      </c>
      <c r="V117" s="206">
        <v>0</v>
      </c>
      <c r="W117" s="206">
        <f t="shared" si="1"/>
        <v>0</v>
      </c>
      <c r="X117" s="206">
        <v>0</v>
      </c>
      <c r="Y117" s="206">
        <f t="shared" si="2"/>
        <v>0</v>
      </c>
      <c r="Z117" s="206">
        <v>0</v>
      </c>
      <c r="AA117" s="207">
        <f t="shared" si="3"/>
        <v>0</v>
      </c>
      <c r="AB117" s="183"/>
      <c r="AC117" s="183"/>
      <c r="AD117" s="183"/>
      <c r="AE117" s="203">
        <f t="shared" si="4"/>
        <v>0</v>
      </c>
      <c r="AF117" s="203">
        <f t="shared" si="5"/>
        <v>0</v>
      </c>
      <c r="AG117" s="203">
        <f t="shared" si="6"/>
        <v>0</v>
      </c>
      <c r="AH117" s="208" t="s">
        <v>73</v>
      </c>
      <c r="AI117" s="203">
        <f t="shared" si="7"/>
        <v>0</v>
      </c>
      <c r="AJ117" s="208" t="s">
        <v>127</v>
      </c>
      <c r="AK117" s="208" t="s">
        <v>127</v>
      </c>
      <c r="AL117" s="183"/>
      <c r="AM117" s="183"/>
      <c r="AN117" s="183"/>
      <c r="AO117" s="183"/>
      <c r="AP117" s="183"/>
      <c r="AQ117" s="183"/>
      <c r="AR117" s="183"/>
      <c r="AS117" s="183"/>
      <c r="AT117" s="183"/>
    </row>
    <row r="118" spans="2:46" s="1" customFormat="1" ht="16.5" customHeight="1">
      <c r="B118" s="135"/>
      <c r="C118" s="136" t="s">
        <v>132</v>
      </c>
      <c r="D118" s="136" t="s">
        <v>125</v>
      </c>
      <c r="E118" s="137" t="s">
        <v>260</v>
      </c>
      <c r="F118" s="258" t="s">
        <v>261</v>
      </c>
      <c r="G118" s="258"/>
      <c r="H118" s="258"/>
      <c r="I118" s="258"/>
      <c r="J118" s="138" t="s">
        <v>257</v>
      </c>
      <c r="K118" s="139">
        <v>3</v>
      </c>
      <c r="L118" s="251">
        <v>0</v>
      </c>
      <c r="M118" s="251"/>
      <c r="N118" s="251">
        <f t="shared" si="0"/>
        <v>0</v>
      </c>
      <c r="O118" s="251"/>
      <c r="P118" s="251"/>
      <c r="Q118" s="251"/>
      <c r="R118" s="140"/>
      <c r="S118" s="183"/>
      <c r="T118" s="204" t="s">
        <v>5</v>
      </c>
      <c r="U118" s="205" t="s">
        <v>37</v>
      </c>
      <c r="V118" s="206">
        <v>0</v>
      </c>
      <c r="W118" s="206">
        <f t="shared" si="1"/>
        <v>0</v>
      </c>
      <c r="X118" s="206">
        <v>0</v>
      </c>
      <c r="Y118" s="206">
        <f t="shared" si="2"/>
        <v>0</v>
      </c>
      <c r="Z118" s="206">
        <v>0</v>
      </c>
      <c r="AA118" s="207">
        <f t="shared" si="3"/>
        <v>0</v>
      </c>
      <c r="AB118" s="183"/>
      <c r="AC118" s="183"/>
      <c r="AD118" s="183"/>
      <c r="AE118" s="203">
        <f t="shared" si="4"/>
        <v>0</v>
      </c>
      <c r="AF118" s="203">
        <f t="shared" si="5"/>
        <v>0</v>
      </c>
      <c r="AG118" s="203">
        <f t="shared" si="6"/>
        <v>0</v>
      </c>
      <c r="AH118" s="208" t="s">
        <v>73</v>
      </c>
      <c r="AI118" s="203">
        <f t="shared" si="7"/>
        <v>0</v>
      </c>
      <c r="AJ118" s="208" t="s">
        <v>127</v>
      </c>
      <c r="AK118" s="208" t="s">
        <v>141</v>
      </c>
      <c r="AL118" s="183"/>
      <c r="AM118" s="183"/>
      <c r="AN118" s="183"/>
      <c r="AO118" s="183"/>
      <c r="AP118" s="183"/>
      <c r="AQ118" s="183"/>
      <c r="AR118" s="183"/>
      <c r="AS118" s="183"/>
      <c r="AT118" s="183"/>
    </row>
    <row r="119" spans="2:46" s="1" customFormat="1" ht="16.5" customHeight="1">
      <c r="B119" s="135"/>
      <c r="C119" s="136" t="s">
        <v>127</v>
      </c>
      <c r="D119" s="136" t="s">
        <v>125</v>
      </c>
      <c r="E119" s="137" t="s">
        <v>262</v>
      </c>
      <c r="F119" s="258" t="s">
        <v>263</v>
      </c>
      <c r="G119" s="258"/>
      <c r="H119" s="258"/>
      <c r="I119" s="258"/>
      <c r="J119" s="138" t="s">
        <v>257</v>
      </c>
      <c r="K119" s="139">
        <v>3</v>
      </c>
      <c r="L119" s="251">
        <v>0</v>
      </c>
      <c r="M119" s="251"/>
      <c r="N119" s="251">
        <f t="shared" si="0"/>
        <v>0</v>
      </c>
      <c r="O119" s="251"/>
      <c r="P119" s="251"/>
      <c r="Q119" s="251"/>
      <c r="R119" s="140"/>
      <c r="S119" s="183"/>
      <c r="T119" s="204" t="s">
        <v>5</v>
      </c>
      <c r="U119" s="205" t="s">
        <v>37</v>
      </c>
      <c r="V119" s="206">
        <v>0</v>
      </c>
      <c r="W119" s="206">
        <f t="shared" si="1"/>
        <v>0</v>
      </c>
      <c r="X119" s="206">
        <v>0</v>
      </c>
      <c r="Y119" s="206">
        <f t="shared" si="2"/>
        <v>0</v>
      </c>
      <c r="Z119" s="206">
        <v>0</v>
      </c>
      <c r="AA119" s="207">
        <f t="shared" si="3"/>
        <v>0</v>
      </c>
      <c r="AB119" s="183"/>
      <c r="AC119" s="183"/>
      <c r="AD119" s="183"/>
      <c r="AE119" s="203">
        <f t="shared" si="4"/>
        <v>0</v>
      </c>
      <c r="AF119" s="203">
        <f t="shared" si="5"/>
        <v>0</v>
      </c>
      <c r="AG119" s="203">
        <f t="shared" si="6"/>
        <v>0</v>
      </c>
      <c r="AH119" s="208" t="s">
        <v>73</v>
      </c>
      <c r="AI119" s="203">
        <f t="shared" si="7"/>
        <v>0</v>
      </c>
      <c r="AJ119" s="208" t="s">
        <v>127</v>
      </c>
      <c r="AK119" s="208" t="s">
        <v>149</v>
      </c>
      <c r="AL119" s="183"/>
      <c r="AM119" s="183"/>
      <c r="AN119" s="183"/>
      <c r="AO119" s="183"/>
      <c r="AP119" s="183"/>
      <c r="AQ119" s="183"/>
      <c r="AR119" s="183"/>
      <c r="AS119" s="183"/>
      <c r="AT119" s="183"/>
    </row>
    <row r="120" spans="2:46" s="1" customFormat="1" ht="16.5" customHeight="1">
      <c r="B120" s="135"/>
      <c r="C120" s="136" t="s">
        <v>140</v>
      </c>
      <c r="D120" s="136" t="s">
        <v>125</v>
      </c>
      <c r="E120" s="137" t="s">
        <v>264</v>
      </c>
      <c r="F120" s="258" t="s">
        <v>265</v>
      </c>
      <c r="G120" s="258"/>
      <c r="H120" s="258"/>
      <c r="I120" s="258"/>
      <c r="J120" s="138" t="s">
        <v>257</v>
      </c>
      <c r="K120" s="139">
        <v>15</v>
      </c>
      <c r="L120" s="251">
        <v>0</v>
      </c>
      <c r="M120" s="251"/>
      <c r="N120" s="251">
        <f t="shared" si="0"/>
        <v>0</v>
      </c>
      <c r="O120" s="251"/>
      <c r="P120" s="251"/>
      <c r="Q120" s="251"/>
      <c r="R120" s="140"/>
      <c r="S120" s="183"/>
      <c r="T120" s="204" t="s">
        <v>5</v>
      </c>
      <c r="U120" s="205" t="s">
        <v>37</v>
      </c>
      <c r="V120" s="206">
        <v>0</v>
      </c>
      <c r="W120" s="206">
        <f t="shared" si="1"/>
        <v>0</v>
      </c>
      <c r="X120" s="206">
        <v>0</v>
      </c>
      <c r="Y120" s="206">
        <f t="shared" si="2"/>
        <v>0</v>
      </c>
      <c r="Z120" s="206">
        <v>0</v>
      </c>
      <c r="AA120" s="207">
        <f t="shared" si="3"/>
        <v>0</v>
      </c>
      <c r="AB120" s="183"/>
      <c r="AC120" s="183"/>
      <c r="AD120" s="183"/>
      <c r="AE120" s="203">
        <f t="shared" si="4"/>
        <v>0</v>
      </c>
      <c r="AF120" s="203">
        <f t="shared" si="5"/>
        <v>0</v>
      </c>
      <c r="AG120" s="203">
        <f t="shared" si="6"/>
        <v>0</v>
      </c>
      <c r="AH120" s="208" t="s">
        <v>73</v>
      </c>
      <c r="AI120" s="203">
        <f t="shared" si="7"/>
        <v>0</v>
      </c>
      <c r="AJ120" s="208" t="s">
        <v>127</v>
      </c>
      <c r="AK120" s="208" t="s">
        <v>151</v>
      </c>
      <c r="AL120" s="183"/>
      <c r="AM120" s="183"/>
      <c r="AN120" s="183"/>
      <c r="AO120" s="183"/>
      <c r="AP120" s="183"/>
      <c r="AQ120" s="183"/>
      <c r="AR120" s="183"/>
      <c r="AS120" s="183"/>
      <c r="AT120" s="183"/>
    </row>
    <row r="121" spans="2:46" s="1" customFormat="1" ht="16.5" customHeight="1">
      <c r="B121" s="135"/>
      <c r="C121" s="136" t="s">
        <v>141</v>
      </c>
      <c r="D121" s="136" t="s">
        <v>125</v>
      </c>
      <c r="E121" s="137" t="s">
        <v>266</v>
      </c>
      <c r="F121" s="258" t="s">
        <v>267</v>
      </c>
      <c r="G121" s="258"/>
      <c r="H121" s="258"/>
      <c r="I121" s="258"/>
      <c r="J121" s="138" t="s">
        <v>257</v>
      </c>
      <c r="K121" s="139">
        <v>3</v>
      </c>
      <c r="L121" s="251">
        <v>0</v>
      </c>
      <c r="M121" s="251"/>
      <c r="N121" s="251">
        <f t="shared" si="0"/>
        <v>0</v>
      </c>
      <c r="O121" s="251"/>
      <c r="P121" s="251"/>
      <c r="Q121" s="251"/>
      <c r="R121" s="140"/>
      <c r="S121" s="183"/>
      <c r="T121" s="204" t="s">
        <v>5</v>
      </c>
      <c r="U121" s="205" t="s">
        <v>37</v>
      </c>
      <c r="V121" s="206">
        <v>0</v>
      </c>
      <c r="W121" s="206">
        <f t="shared" si="1"/>
        <v>0</v>
      </c>
      <c r="X121" s="206">
        <v>0</v>
      </c>
      <c r="Y121" s="206">
        <f t="shared" si="2"/>
        <v>0</v>
      </c>
      <c r="Z121" s="206">
        <v>0</v>
      </c>
      <c r="AA121" s="207">
        <f t="shared" si="3"/>
        <v>0</v>
      </c>
      <c r="AB121" s="183"/>
      <c r="AC121" s="183"/>
      <c r="AD121" s="183"/>
      <c r="AE121" s="203">
        <f t="shared" si="4"/>
        <v>0</v>
      </c>
      <c r="AF121" s="203">
        <f t="shared" si="5"/>
        <v>0</v>
      </c>
      <c r="AG121" s="203">
        <f t="shared" si="6"/>
        <v>0</v>
      </c>
      <c r="AH121" s="208" t="s">
        <v>73</v>
      </c>
      <c r="AI121" s="203">
        <f t="shared" si="7"/>
        <v>0</v>
      </c>
      <c r="AJ121" s="208" t="s">
        <v>127</v>
      </c>
      <c r="AK121" s="208" t="s">
        <v>159</v>
      </c>
      <c r="AL121" s="183"/>
      <c r="AM121" s="183"/>
      <c r="AN121" s="183"/>
      <c r="AO121" s="183"/>
      <c r="AP121" s="183"/>
      <c r="AQ121" s="183"/>
      <c r="AR121" s="183"/>
      <c r="AS121" s="183"/>
      <c r="AT121" s="183"/>
    </row>
    <row r="122" spans="2:46" s="1" customFormat="1" ht="16.5" customHeight="1">
      <c r="B122" s="135"/>
      <c r="C122" s="136" t="s">
        <v>145</v>
      </c>
      <c r="D122" s="136" t="s">
        <v>125</v>
      </c>
      <c r="E122" s="137" t="s">
        <v>268</v>
      </c>
      <c r="F122" s="258" t="s">
        <v>269</v>
      </c>
      <c r="G122" s="258"/>
      <c r="H122" s="258"/>
      <c r="I122" s="258"/>
      <c r="J122" s="138" t="s">
        <v>257</v>
      </c>
      <c r="K122" s="139">
        <v>70</v>
      </c>
      <c r="L122" s="251">
        <v>0</v>
      </c>
      <c r="M122" s="251"/>
      <c r="N122" s="251">
        <f t="shared" si="0"/>
        <v>0</v>
      </c>
      <c r="O122" s="251"/>
      <c r="P122" s="251"/>
      <c r="Q122" s="251"/>
      <c r="R122" s="140"/>
      <c r="S122" s="183"/>
      <c r="T122" s="204" t="s">
        <v>5</v>
      </c>
      <c r="U122" s="205" t="s">
        <v>37</v>
      </c>
      <c r="V122" s="206">
        <v>0</v>
      </c>
      <c r="W122" s="206">
        <f t="shared" si="1"/>
        <v>0</v>
      </c>
      <c r="X122" s="206">
        <v>0</v>
      </c>
      <c r="Y122" s="206">
        <f t="shared" si="2"/>
        <v>0</v>
      </c>
      <c r="Z122" s="206">
        <v>0</v>
      </c>
      <c r="AA122" s="207">
        <f t="shared" si="3"/>
        <v>0</v>
      </c>
      <c r="AB122" s="183"/>
      <c r="AC122" s="183"/>
      <c r="AD122" s="183"/>
      <c r="AE122" s="203">
        <f t="shared" si="4"/>
        <v>0</v>
      </c>
      <c r="AF122" s="203">
        <f t="shared" si="5"/>
        <v>0</v>
      </c>
      <c r="AG122" s="203">
        <f t="shared" si="6"/>
        <v>0</v>
      </c>
      <c r="AH122" s="208" t="s">
        <v>73</v>
      </c>
      <c r="AI122" s="203">
        <f t="shared" si="7"/>
        <v>0</v>
      </c>
      <c r="AJ122" s="208" t="s">
        <v>127</v>
      </c>
      <c r="AK122" s="208" t="s">
        <v>164</v>
      </c>
      <c r="AL122" s="183"/>
      <c r="AM122" s="183"/>
      <c r="AN122" s="183"/>
      <c r="AO122" s="183"/>
      <c r="AP122" s="183"/>
      <c r="AQ122" s="183"/>
      <c r="AR122" s="183"/>
      <c r="AS122" s="183"/>
      <c r="AT122" s="183"/>
    </row>
    <row r="123" spans="2:46" s="1" customFormat="1" ht="16.5" customHeight="1">
      <c r="B123" s="135"/>
      <c r="C123" s="136" t="s">
        <v>149</v>
      </c>
      <c r="D123" s="136" t="s">
        <v>125</v>
      </c>
      <c r="E123" s="137" t="s">
        <v>270</v>
      </c>
      <c r="F123" s="258" t="s">
        <v>271</v>
      </c>
      <c r="G123" s="258"/>
      <c r="H123" s="258"/>
      <c r="I123" s="258"/>
      <c r="J123" s="138" t="s">
        <v>257</v>
      </c>
      <c r="K123" s="139">
        <v>10</v>
      </c>
      <c r="L123" s="251">
        <v>0</v>
      </c>
      <c r="M123" s="251"/>
      <c r="N123" s="251">
        <f t="shared" si="0"/>
        <v>0</v>
      </c>
      <c r="O123" s="251"/>
      <c r="P123" s="251"/>
      <c r="Q123" s="251"/>
      <c r="R123" s="140"/>
      <c r="T123" s="141" t="s">
        <v>5</v>
      </c>
      <c r="U123" s="42" t="s">
        <v>37</v>
      </c>
      <c r="V123" s="142">
        <v>0</v>
      </c>
      <c r="W123" s="142">
        <f t="shared" si="1"/>
        <v>0</v>
      </c>
      <c r="X123" s="142">
        <v>0</v>
      </c>
      <c r="Y123" s="142">
        <f t="shared" si="2"/>
        <v>0</v>
      </c>
      <c r="Z123" s="142">
        <v>0</v>
      </c>
      <c r="AA123" s="143">
        <f t="shared" si="3"/>
        <v>0</v>
      </c>
      <c r="AE123" s="144">
        <f t="shared" si="4"/>
        <v>0</v>
      </c>
      <c r="AF123" s="144">
        <f t="shared" si="5"/>
        <v>0</v>
      </c>
      <c r="AG123" s="144">
        <f t="shared" si="6"/>
        <v>0</v>
      </c>
      <c r="AH123" s="20" t="s">
        <v>73</v>
      </c>
      <c r="AI123" s="144">
        <f t="shared" si="7"/>
        <v>0</v>
      </c>
      <c r="AJ123" s="20" t="s">
        <v>127</v>
      </c>
      <c r="AK123" s="20" t="s">
        <v>163</v>
      </c>
    </row>
    <row r="124" spans="2:46" s="1" customFormat="1" ht="16.5" customHeight="1">
      <c r="B124" s="135"/>
      <c r="C124" s="136" t="s">
        <v>150</v>
      </c>
      <c r="D124" s="136" t="s">
        <v>125</v>
      </c>
      <c r="E124" s="137" t="s">
        <v>272</v>
      </c>
      <c r="F124" s="258" t="s">
        <v>273</v>
      </c>
      <c r="G124" s="258"/>
      <c r="H124" s="258"/>
      <c r="I124" s="258"/>
      <c r="J124" s="138" t="s">
        <v>274</v>
      </c>
      <c r="K124" s="139">
        <v>30</v>
      </c>
      <c r="L124" s="251">
        <v>0</v>
      </c>
      <c r="M124" s="251"/>
      <c r="N124" s="251">
        <f t="shared" si="0"/>
        <v>0</v>
      </c>
      <c r="O124" s="251"/>
      <c r="P124" s="251"/>
      <c r="Q124" s="251"/>
      <c r="R124" s="140"/>
      <c r="T124" s="141" t="s">
        <v>5</v>
      </c>
      <c r="U124" s="42" t="s">
        <v>37</v>
      </c>
      <c r="V124" s="142">
        <v>0</v>
      </c>
      <c r="W124" s="142">
        <f t="shared" si="1"/>
        <v>0</v>
      </c>
      <c r="X124" s="142">
        <v>0</v>
      </c>
      <c r="Y124" s="142">
        <f t="shared" si="2"/>
        <v>0</v>
      </c>
      <c r="Z124" s="142">
        <v>0</v>
      </c>
      <c r="AA124" s="143">
        <f t="shared" si="3"/>
        <v>0</v>
      </c>
      <c r="AE124" s="144">
        <f t="shared" si="4"/>
        <v>0</v>
      </c>
      <c r="AF124" s="144">
        <f t="shared" si="5"/>
        <v>0</v>
      </c>
      <c r="AG124" s="144">
        <f t="shared" si="6"/>
        <v>0</v>
      </c>
      <c r="AH124" s="20" t="s">
        <v>73</v>
      </c>
      <c r="AI124" s="144">
        <f t="shared" si="7"/>
        <v>0</v>
      </c>
      <c r="AJ124" s="20" t="s">
        <v>127</v>
      </c>
      <c r="AK124" s="20" t="s">
        <v>174</v>
      </c>
    </row>
    <row r="125" spans="2:46" s="1" customFormat="1" ht="16.5" customHeight="1">
      <c r="B125" s="135"/>
      <c r="C125" s="136" t="s">
        <v>151</v>
      </c>
      <c r="D125" s="136" t="s">
        <v>125</v>
      </c>
      <c r="E125" s="137" t="s">
        <v>275</v>
      </c>
      <c r="F125" s="258" t="s">
        <v>276</v>
      </c>
      <c r="G125" s="258"/>
      <c r="H125" s="258"/>
      <c r="I125" s="258"/>
      <c r="J125" s="138" t="s">
        <v>138</v>
      </c>
      <c r="K125" s="139">
        <v>183</v>
      </c>
      <c r="L125" s="251">
        <v>0</v>
      </c>
      <c r="M125" s="251"/>
      <c r="N125" s="251">
        <f t="shared" si="0"/>
        <v>0</v>
      </c>
      <c r="O125" s="251"/>
      <c r="P125" s="251"/>
      <c r="Q125" s="251"/>
      <c r="R125" s="140"/>
      <c r="T125" s="141" t="s">
        <v>5</v>
      </c>
      <c r="U125" s="42" t="s">
        <v>37</v>
      </c>
      <c r="V125" s="142">
        <v>0</v>
      </c>
      <c r="W125" s="142">
        <f t="shared" si="1"/>
        <v>0</v>
      </c>
      <c r="X125" s="142">
        <v>0</v>
      </c>
      <c r="Y125" s="142">
        <f t="shared" si="2"/>
        <v>0</v>
      </c>
      <c r="Z125" s="142">
        <v>0</v>
      </c>
      <c r="AA125" s="143">
        <f t="shared" si="3"/>
        <v>0</v>
      </c>
      <c r="AE125" s="144">
        <f t="shared" si="4"/>
        <v>0</v>
      </c>
      <c r="AF125" s="144">
        <f t="shared" si="5"/>
        <v>0</v>
      </c>
      <c r="AG125" s="144">
        <f t="shared" si="6"/>
        <v>0</v>
      </c>
      <c r="AH125" s="20" t="s">
        <v>73</v>
      </c>
      <c r="AI125" s="144">
        <f t="shared" si="7"/>
        <v>0</v>
      </c>
      <c r="AJ125" s="20" t="s">
        <v>127</v>
      </c>
      <c r="AK125" s="20" t="s">
        <v>178</v>
      </c>
    </row>
    <row r="126" spans="2:46" s="1" customFormat="1" ht="16.5" customHeight="1">
      <c r="B126" s="135"/>
      <c r="C126" s="136" t="s">
        <v>155</v>
      </c>
      <c r="D126" s="136" t="s">
        <v>125</v>
      </c>
      <c r="E126" s="137" t="s">
        <v>277</v>
      </c>
      <c r="F126" s="258" t="s">
        <v>278</v>
      </c>
      <c r="G126" s="258"/>
      <c r="H126" s="258"/>
      <c r="I126" s="258"/>
      <c r="J126" s="138" t="s">
        <v>138</v>
      </c>
      <c r="K126" s="139">
        <v>179</v>
      </c>
      <c r="L126" s="251">
        <v>0</v>
      </c>
      <c r="M126" s="251"/>
      <c r="N126" s="251">
        <f t="shared" si="0"/>
        <v>0</v>
      </c>
      <c r="O126" s="251"/>
      <c r="P126" s="251"/>
      <c r="Q126" s="251"/>
      <c r="R126" s="140"/>
      <c r="T126" s="141" t="s">
        <v>5</v>
      </c>
      <c r="U126" s="42" t="s">
        <v>37</v>
      </c>
      <c r="V126" s="142">
        <v>0</v>
      </c>
      <c r="W126" s="142">
        <f t="shared" si="1"/>
        <v>0</v>
      </c>
      <c r="X126" s="142">
        <v>0</v>
      </c>
      <c r="Y126" s="142">
        <f t="shared" si="2"/>
        <v>0</v>
      </c>
      <c r="Z126" s="142">
        <v>0</v>
      </c>
      <c r="AA126" s="143">
        <f t="shared" si="3"/>
        <v>0</v>
      </c>
      <c r="AE126" s="144">
        <f t="shared" si="4"/>
        <v>0</v>
      </c>
      <c r="AF126" s="144">
        <f t="shared" si="5"/>
        <v>0</v>
      </c>
      <c r="AG126" s="144">
        <f t="shared" si="6"/>
        <v>0</v>
      </c>
      <c r="AH126" s="20" t="s">
        <v>73</v>
      </c>
      <c r="AI126" s="144">
        <f t="shared" si="7"/>
        <v>0</v>
      </c>
      <c r="AJ126" s="20" t="s">
        <v>127</v>
      </c>
      <c r="AK126" s="20" t="s">
        <v>184</v>
      </c>
    </row>
    <row r="127" spans="2:46" s="1" customFormat="1" ht="16.5" customHeight="1">
      <c r="B127" s="135"/>
      <c r="C127" s="136" t="s">
        <v>159</v>
      </c>
      <c r="D127" s="136" t="s">
        <v>125</v>
      </c>
      <c r="E127" s="137" t="s">
        <v>279</v>
      </c>
      <c r="F127" s="258" t="s">
        <v>280</v>
      </c>
      <c r="G127" s="258"/>
      <c r="H127" s="258"/>
      <c r="I127" s="258"/>
      <c r="J127" s="138" t="s">
        <v>138</v>
      </c>
      <c r="K127" s="139">
        <v>179</v>
      </c>
      <c r="L127" s="251">
        <v>0</v>
      </c>
      <c r="M127" s="251"/>
      <c r="N127" s="251">
        <f t="shared" si="0"/>
        <v>0</v>
      </c>
      <c r="O127" s="251"/>
      <c r="P127" s="251"/>
      <c r="Q127" s="251"/>
      <c r="R127" s="140"/>
      <c r="T127" s="141" t="s">
        <v>5</v>
      </c>
      <c r="U127" s="42" t="s">
        <v>37</v>
      </c>
      <c r="V127" s="142">
        <v>0</v>
      </c>
      <c r="W127" s="142">
        <f t="shared" si="1"/>
        <v>0</v>
      </c>
      <c r="X127" s="142">
        <v>0</v>
      </c>
      <c r="Y127" s="142">
        <f t="shared" si="2"/>
        <v>0</v>
      </c>
      <c r="Z127" s="142">
        <v>0</v>
      </c>
      <c r="AA127" s="143">
        <f t="shared" si="3"/>
        <v>0</v>
      </c>
      <c r="AE127" s="144">
        <f t="shared" si="4"/>
        <v>0</v>
      </c>
      <c r="AF127" s="144">
        <f t="shared" si="5"/>
        <v>0</v>
      </c>
      <c r="AG127" s="144">
        <f t="shared" si="6"/>
        <v>0</v>
      </c>
      <c r="AH127" s="20" t="s">
        <v>73</v>
      </c>
      <c r="AI127" s="144">
        <f t="shared" si="7"/>
        <v>0</v>
      </c>
      <c r="AJ127" s="20" t="s">
        <v>127</v>
      </c>
      <c r="AK127" s="20" t="s">
        <v>186</v>
      </c>
    </row>
    <row r="128" spans="2:46" s="1" customFormat="1" ht="16.5" customHeight="1">
      <c r="B128" s="135"/>
      <c r="C128" s="136" t="s">
        <v>160</v>
      </c>
      <c r="D128" s="136" t="s">
        <v>125</v>
      </c>
      <c r="E128" s="137" t="s">
        <v>281</v>
      </c>
      <c r="F128" s="258" t="s">
        <v>282</v>
      </c>
      <c r="G128" s="258"/>
      <c r="H128" s="258"/>
      <c r="I128" s="258"/>
      <c r="J128" s="138" t="s">
        <v>257</v>
      </c>
      <c r="K128" s="139">
        <v>3</v>
      </c>
      <c r="L128" s="251">
        <v>0</v>
      </c>
      <c r="M128" s="251"/>
      <c r="N128" s="251">
        <f t="shared" si="0"/>
        <v>0</v>
      </c>
      <c r="O128" s="251"/>
      <c r="P128" s="251"/>
      <c r="Q128" s="251"/>
      <c r="R128" s="140"/>
      <c r="T128" s="141" t="s">
        <v>5</v>
      </c>
      <c r="U128" s="42" t="s">
        <v>37</v>
      </c>
      <c r="V128" s="142">
        <v>0</v>
      </c>
      <c r="W128" s="142">
        <f t="shared" si="1"/>
        <v>0</v>
      </c>
      <c r="X128" s="142">
        <v>0</v>
      </c>
      <c r="Y128" s="142">
        <f t="shared" si="2"/>
        <v>0</v>
      </c>
      <c r="Z128" s="142">
        <v>0</v>
      </c>
      <c r="AA128" s="143">
        <f t="shared" si="3"/>
        <v>0</v>
      </c>
      <c r="AE128" s="144">
        <f t="shared" si="4"/>
        <v>0</v>
      </c>
      <c r="AF128" s="144">
        <f t="shared" si="5"/>
        <v>0</v>
      </c>
      <c r="AG128" s="144">
        <f t="shared" si="6"/>
        <v>0</v>
      </c>
      <c r="AH128" s="20" t="s">
        <v>73</v>
      </c>
      <c r="AI128" s="144">
        <f t="shared" si="7"/>
        <v>0</v>
      </c>
      <c r="AJ128" s="20" t="s">
        <v>127</v>
      </c>
      <c r="AK128" s="20" t="s">
        <v>190</v>
      </c>
    </row>
    <row r="129" spans="2:37" s="1" customFormat="1" ht="16.5" customHeight="1">
      <c r="B129" s="135"/>
      <c r="C129" s="136" t="s">
        <v>164</v>
      </c>
      <c r="D129" s="136" t="s">
        <v>125</v>
      </c>
      <c r="E129" s="137" t="s">
        <v>283</v>
      </c>
      <c r="F129" s="258" t="s">
        <v>284</v>
      </c>
      <c r="G129" s="258"/>
      <c r="H129" s="258"/>
      <c r="I129" s="258"/>
      <c r="J129" s="138" t="s">
        <v>257</v>
      </c>
      <c r="K129" s="139">
        <v>3</v>
      </c>
      <c r="L129" s="251">
        <v>0</v>
      </c>
      <c r="M129" s="251"/>
      <c r="N129" s="251">
        <f t="shared" si="0"/>
        <v>0</v>
      </c>
      <c r="O129" s="251"/>
      <c r="P129" s="251"/>
      <c r="Q129" s="251"/>
      <c r="R129" s="140"/>
      <c r="T129" s="141" t="s">
        <v>5</v>
      </c>
      <c r="U129" s="42" t="s">
        <v>37</v>
      </c>
      <c r="V129" s="142">
        <v>0</v>
      </c>
      <c r="W129" s="142">
        <f t="shared" si="1"/>
        <v>0</v>
      </c>
      <c r="X129" s="142">
        <v>0</v>
      </c>
      <c r="Y129" s="142">
        <f t="shared" si="2"/>
        <v>0</v>
      </c>
      <c r="Z129" s="142">
        <v>0</v>
      </c>
      <c r="AA129" s="143">
        <f t="shared" si="3"/>
        <v>0</v>
      </c>
      <c r="AE129" s="144">
        <f t="shared" si="4"/>
        <v>0</v>
      </c>
      <c r="AF129" s="144">
        <f t="shared" si="5"/>
        <v>0</v>
      </c>
      <c r="AG129" s="144">
        <f t="shared" si="6"/>
        <v>0</v>
      </c>
      <c r="AH129" s="20" t="s">
        <v>73</v>
      </c>
      <c r="AI129" s="144">
        <f t="shared" si="7"/>
        <v>0</v>
      </c>
      <c r="AJ129" s="20" t="s">
        <v>127</v>
      </c>
      <c r="AK129" s="20" t="s">
        <v>192</v>
      </c>
    </row>
    <row r="130" spans="2:37" s="1" customFormat="1" ht="16.5" customHeight="1">
      <c r="B130" s="135"/>
      <c r="C130" s="136" t="s">
        <v>9</v>
      </c>
      <c r="D130" s="136" t="s">
        <v>125</v>
      </c>
      <c r="E130" s="137" t="s">
        <v>285</v>
      </c>
      <c r="F130" s="258" t="s">
        <v>286</v>
      </c>
      <c r="G130" s="258"/>
      <c r="H130" s="258"/>
      <c r="I130" s="258"/>
      <c r="J130" s="138" t="s">
        <v>257</v>
      </c>
      <c r="K130" s="139">
        <v>2</v>
      </c>
      <c r="L130" s="251">
        <v>0</v>
      </c>
      <c r="M130" s="251"/>
      <c r="N130" s="251">
        <f t="shared" si="0"/>
        <v>0</v>
      </c>
      <c r="O130" s="251"/>
      <c r="P130" s="251"/>
      <c r="Q130" s="251"/>
      <c r="R130" s="140"/>
      <c r="T130" s="141" t="s">
        <v>5</v>
      </c>
      <c r="U130" s="42" t="s">
        <v>37</v>
      </c>
      <c r="V130" s="142">
        <v>0</v>
      </c>
      <c r="W130" s="142">
        <f t="shared" si="1"/>
        <v>0</v>
      </c>
      <c r="X130" s="142">
        <v>0</v>
      </c>
      <c r="Y130" s="142">
        <f t="shared" si="2"/>
        <v>0</v>
      </c>
      <c r="Z130" s="142">
        <v>0</v>
      </c>
      <c r="AA130" s="143">
        <f t="shared" si="3"/>
        <v>0</v>
      </c>
      <c r="AE130" s="144">
        <f t="shared" si="4"/>
        <v>0</v>
      </c>
      <c r="AF130" s="144">
        <f t="shared" si="5"/>
        <v>0</v>
      </c>
      <c r="AG130" s="144">
        <f t="shared" si="6"/>
        <v>0</v>
      </c>
      <c r="AH130" s="20" t="s">
        <v>73</v>
      </c>
      <c r="AI130" s="144">
        <f t="shared" si="7"/>
        <v>0</v>
      </c>
      <c r="AJ130" s="20" t="s">
        <v>127</v>
      </c>
      <c r="AK130" s="20" t="s">
        <v>199</v>
      </c>
    </row>
    <row r="131" spans="2:37" s="1" customFormat="1" ht="16.5" customHeight="1">
      <c r="B131" s="135"/>
      <c r="C131" s="136" t="s">
        <v>163</v>
      </c>
      <c r="D131" s="136" t="s">
        <v>125</v>
      </c>
      <c r="E131" s="137" t="s">
        <v>287</v>
      </c>
      <c r="F131" s="258" t="s">
        <v>288</v>
      </c>
      <c r="G131" s="258"/>
      <c r="H131" s="258"/>
      <c r="I131" s="258"/>
      <c r="J131" s="138" t="s">
        <v>274</v>
      </c>
      <c r="K131" s="139">
        <v>65</v>
      </c>
      <c r="L131" s="251">
        <v>0</v>
      </c>
      <c r="M131" s="251"/>
      <c r="N131" s="251">
        <f t="shared" si="0"/>
        <v>0</v>
      </c>
      <c r="O131" s="251"/>
      <c r="P131" s="251"/>
      <c r="Q131" s="251"/>
      <c r="R131" s="140"/>
      <c r="T131" s="141" t="s">
        <v>5</v>
      </c>
      <c r="U131" s="42" t="s">
        <v>37</v>
      </c>
      <c r="V131" s="142">
        <v>0</v>
      </c>
      <c r="W131" s="142">
        <f t="shared" si="1"/>
        <v>0</v>
      </c>
      <c r="X131" s="142">
        <v>0</v>
      </c>
      <c r="Y131" s="142">
        <f t="shared" si="2"/>
        <v>0</v>
      </c>
      <c r="Z131" s="142">
        <v>0</v>
      </c>
      <c r="AA131" s="143">
        <f t="shared" si="3"/>
        <v>0</v>
      </c>
      <c r="AE131" s="144">
        <f t="shared" si="4"/>
        <v>0</v>
      </c>
      <c r="AF131" s="144">
        <f t="shared" si="5"/>
        <v>0</v>
      </c>
      <c r="AG131" s="144">
        <f t="shared" si="6"/>
        <v>0</v>
      </c>
      <c r="AH131" s="20" t="s">
        <v>73</v>
      </c>
      <c r="AI131" s="144">
        <f t="shared" si="7"/>
        <v>0</v>
      </c>
      <c r="AJ131" s="20" t="s">
        <v>127</v>
      </c>
      <c r="AK131" s="20" t="s">
        <v>206</v>
      </c>
    </row>
    <row r="132" spans="2:37" s="1" customFormat="1" ht="16.5" customHeight="1">
      <c r="B132" s="135"/>
      <c r="C132" s="136" t="s">
        <v>171</v>
      </c>
      <c r="D132" s="136" t="s">
        <v>125</v>
      </c>
      <c r="E132" s="137" t="s">
        <v>289</v>
      </c>
      <c r="F132" s="258" t="s">
        <v>290</v>
      </c>
      <c r="G132" s="258"/>
      <c r="H132" s="258"/>
      <c r="I132" s="258"/>
      <c r="J132" s="138" t="s">
        <v>257</v>
      </c>
      <c r="K132" s="139">
        <v>1</v>
      </c>
      <c r="L132" s="251">
        <v>0</v>
      </c>
      <c r="M132" s="251"/>
      <c r="N132" s="251">
        <f t="shared" si="0"/>
        <v>0</v>
      </c>
      <c r="O132" s="251"/>
      <c r="P132" s="251"/>
      <c r="Q132" s="251"/>
      <c r="R132" s="140"/>
      <c r="T132" s="141" t="s">
        <v>5</v>
      </c>
      <c r="U132" s="42" t="s">
        <v>37</v>
      </c>
      <c r="V132" s="142">
        <v>0</v>
      </c>
      <c r="W132" s="142">
        <f t="shared" si="1"/>
        <v>0</v>
      </c>
      <c r="X132" s="142">
        <v>0</v>
      </c>
      <c r="Y132" s="142">
        <f t="shared" si="2"/>
        <v>0</v>
      </c>
      <c r="Z132" s="142">
        <v>0</v>
      </c>
      <c r="AA132" s="143">
        <f t="shared" si="3"/>
        <v>0</v>
      </c>
      <c r="AE132" s="144">
        <f t="shared" si="4"/>
        <v>0</v>
      </c>
      <c r="AF132" s="144">
        <f t="shared" si="5"/>
        <v>0</v>
      </c>
      <c r="AG132" s="144">
        <f t="shared" si="6"/>
        <v>0</v>
      </c>
      <c r="AH132" s="20" t="s">
        <v>73</v>
      </c>
      <c r="AI132" s="144">
        <f t="shared" si="7"/>
        <v>0</v>
      </c>
      <c r="AJ132" s="20" t="s">
        <v>127</v>
      </c>
      <c r="AK132" s="20" t="s">
        <v>210</v>
      </c>
    </row>
    <row r="133" spans="2:37" s="9" customFormat="1" ht="29.85" customHeight="1">
      <c r="B133" s="125"/>
      <c r="C133" s="126"/>
      <c r="D133" s="134" t="s">
        <v>254</v>
      </c>
      <c r="E133" s="134"/>
      <c r="F133" s="134"/>
      <c r="G133" s="134"/>
      <c r="H133" s="134"/>
      <c r="I133" s="134"/>
      <c r="J133" s="134"/>
      <c r="K133" s="134"/>
      <c r="L133" s="134"/>
      <c r="M133" s="134"/>
      <c r="N133" s="294">
        <f>AI133</f>
        <v>0</v>
      </c>
      <c r="O133" s="295"/>
      <c r="P133" s="295"/>
      <c r="Q133" s="295"/>
      <c r="R133" s="128"/>
      <c r="T133" s="129"/>
      <c r="U133" s="126"/>
      <c r="V133" s="126"/>
      <c r="W133" s="130">
        <f>SUM(W134:W150)</f>
        <v>0</v>
      </c>
      <c r="X133" s="126"/>
      <c r="Y133" s="130">
        <f>SUM(Y134:Y150)</f>
        <v>0</v>
      </c>
      <c r="Z133" s="126"/>
      <c r="AA133" s="131">
        <f>SUM(AA134:AA150)</f>
        <v>0</v>
      </c>
      <c r="AI133" s="133">
        <f>SUM(AI134:AI150)</f>
        <v>0</v>
      </c>
    </row>
    <row r="134" spans="2:37" s="1" customFormat="1" ht="25.5" customHeight="1">
      <c r="B134" s="135"/>
      <c r="C134" s="136" t="s">
        <v>177</v>
      </c>
      <c r="D134" s="136" t="s">
        <v>125</v>
      </c>
      <c r="E134" s="137" t="s">
        <v>291</v>
      </c>
      <c r="F134" s="258" t="s">
        <v>292</v>
      </c>
      <c r="G134" s="258"/>
      <c r="H134" s="258"/>
      <c r="I134" s="258"/>
      <c r="J134" s="138" t="s">
        <v>138</v>
      </c>
      <c r="K134" s="139">
        <v>198</v>
      </c>
      <c r="L134" s="251">
        <v>0</v>
      </c>
      <c r="M134" s="251"/>
      <c r="N134" s="251">
        <f t="shared" ref="N134:N150" si="8">ROUND(L134*K134,2)</f>
        <v>0</v>
      </c>
      <c r="O134" s="251"/>
      <c r="P134" s="251"/>
      <c r="Q134" s="251"/>
      <c r="R134" s="140"/>
      <c r="T134" s="141" t="s">
        <v>5</v>
      </c>
      <c r="U134" s="42" t="s">
        <v>37</v>
      </c>
      <c r="V134" s="142">
        <v>0</v>
      </c>
      <c r="W134" s="142">
        <f t="shared" ref="W134:W150" si="9">V134*K134</f>
        <v>0</v>
      </c>
      <c r="X134" s="142">
        <v>0</v>
      </c>
      <c r="Y134" s="142">
        <f t="shared" ref="Y134:Y150" si="10">X134*K134</f>
        <v>0</v>
      </c>
      <c r="Z134" s="142">
        <v>0</v>
      </c>
      <c r="AA134" s="143">
        <f t="shared" ref="AA134:AA150" si="11">Z134*K134</f>
        <v>0</v>
      </c>
      <c r="AE134" s="144">
        <f t="shared" ref="AE134:AE150" si="12">IF(U134="zákl. přenesená",N134,0)</f>
        <v>0</v>
      </c>
      <c r="AF134" s="144">
        <f t="shared" ref="AF134:AF150" si="13">IF(U134="sníž. přenesená",N134,0)</f>
        <v>0</v>
      </c>
      <c r="AG134" s="144">
        <f t="shared" ref="AG134:AG150" si="14">IF(U134="nulová",N134,0)</f>
        <v>0</v>
      </c>
      <c r="AH134" s="20" t="s">
        <v>73</v>
      </c>
      <c r="AI134" s="144">
        <f t="shared" ref="AI134:AI150" si="15">ROUND(L134*K134,2)</f>
        <v>0</v>
      </c>
      <c r="AJ134" s="20" t="s">
        <v>127</v>
      </c>
      <c r="AK134" s="20" t="s">
        <v>212</v>
      </c>
    </row>
    <row r="135" spans="2:37" s="1" customFormat="1" ht="16.5" customHeight="1">
      <c r="B135" s="135"/>
      <c r="C135" s="136" t="s">
        <v>178</v>
      </c>
      <c r="D135" s="136" t="s">
        <v>125</v>
      </c>
      <c r="E135" s="137" t="s">
        <v>293</v>
      </c>
      <c r="F135" s="258" t="s">
        <v>294</v>
      </c>
      <c r="G135" s="258"/>
      <c r="H135" s="258"/>
      <c r="I135" s="258"/>
      <c r="J135" s="138" t="s">
        <v>257</v>
      </c>
      <c r="K135" s="139">
        <v>8</v>
      </c>
      <c r="L135" s="251">
        <v>0</v>
      </c>
      <c r="M135" s="251"/>
      <c r="N135" s="251">
        <f t="shared" si="8"/>
        <v>0</v>
      </c>
      <c r="O135" s="251"/>
      <c r="P135" s="251"/>
      <c r="Q135" s="251"/>
      <c r="R135" s="140"/>
      <c r="T135" s="141" t="s">
        <v>5</v>
      </c>
      <c r="U135" s="42" t="s">
        <v>37</v>
      </c>
      <c r="V135" s="142">
        <v>0</v>
      </c>
      <c r="W135" s="142">
        <f t="shared" si="9"/>
        <v>0</v>
      </c>
      <c r="X135" s="142">
        <v>0</v>
      </c>
      <c r="Y135" s="142">
        <f t="shared" si="10"/>
        <v>0</v>
      </c>
      <c r="Z135" s="142">
        <v>0</v>
      </c>
      <c r="AA135" s="143">
        <f t="shared" si="11"/>
        <v>0</v>
      </c>
      <c r="AE135" s="144">
        <f t="shared" si="12"/>
        <v>0</v>
      </c>
      <c r="AF135" s="144">
        <f t="shared" si="13"/>
        <v>0</v>
      </c>
      <c r="AG135" s="144">
        <f t="shared" si="14"/>
        <v>0</v>
      </c>
      <c r="AH135" s="20" t="s">
        <v>73</v>
      </c>
      <c r="AI135" s="144">
        <f t="shared" si="15"/>
        <v>0</v>
      </c>
      <c r="AJ135" s="20" t="s">
        <v>127</v>
      </c>
      <c r="AK135" s="20" t="s">
        <v>213</v>
      </c>
    </row>
    <row r="136" spans="2:37" s="1" customFormat="1" ht="16.5" customHeight="1">
      <c r="B136" s="135"/>
      <c r="C136" s="136" t="s">
        <v>8</v>
      </c>
      <c r="D136" s="136" t="s">
        <v>125</v>
      </c>
      <c r="E136" s="137" t="s">
        <v>295</v>
      </c>
      <c r="F136" s="258" t="s">
        <v>296</v>
      </c>
      <c r="G136" s="258"/>
      <c r="H136" s="258"/>
      <c r="I136" s="258"/>
      <c r="J136" s="138" t="s">
        <v>257</v>
      </c>
      <c r="K136" s="139">
        <v>8</v>
      </c>
      <c r="L136" s="251">
        <v>0</v>
      </c>
      <c r="M136" s="251"/>
      <c r="N136" s="251">
        <f t="shared" si="8"/>
        <v>0</v>
      </c>
      <c r="O136" s="251"/>
      <c r="P136" s="251"/>
      <c r="Q136" s="251"/>
      <c r="R136" s="140"/>
      <c r="T136" s="141" t="s">
        <v>5</v>
      </c>
      <c r="U136" s="42" t="s">
        <v>37</v>
      </c>
      <c r="V136" s="142">
        <v>0</v>
      </c>
      <c r="W136" s="142">
        <f t="shared" si="9"/>
        <v>0</v>
      </c>
      <c r="X136" s="142">
        <v>0</v>
      </c>
      <c r="Y136" s="142">
        <f t="shared" si="10"/>
        <v>0</v>
      </c>
      <c r="Z136" s="142">
        <v>0</v>
      </c>
      <c r="AA136" s="143">
        <f t="shared" si="11"/>
        <v>0</v>
      </c>
      <c r="AE136" s="144">
        <f t="shared" si="12"/>
        <v>0</v>
      </c>
      <c r="AF136" s="144">
        <f t="shared" si="13"/>
        <v>0</v>
      </c>
      <c r="AG136" s="144">
        <f t="shared" si="14"/>
        <v>0</v>
      </c>
      <c r="AH136" s="20" t="s">
        <v>73</v>
      </c>
      <c r="AI136" s="144">
        <f t="shared" si="15"/>
        <v>0</v>
      </c>
      <c r="AJ136" s="20" t="s">
        <v>127</v>
      </c>
      <c r="AK136" s="20" t="s">
        <v>219</v>
      </c>
    </row>
    <row r="137" spans="2:37" s="1" customFormat="1" ht="25.5" customHeight="1">
      <c r="B137" s="135"/>
      <c r="C137" s="136" t="s">
        <v>184</v>
      </c>
      <c r="D137" s="136" t="s">
        <v>125</v>
      </c>
      <c r="E137" s="137" t="s">
        <v>297</v>
      </c>
      <c r="F137" s="258" t="s">
        <v>298</v>
      </c>
      <c r="G137" s="258"/>
      <c r="H137" s="258"/>
      <c r="I137" s="258"/>
      <c r="J137" s="138" t="s">
        <v>257</v>
      </c>
      <c r="K137" s="139">
        <v>33</v>
      </c>
      <c r="L137" s="251">
        <v>0</v>
      </c>
      <c r="M137" s="251"/>
      <c r="N137" s="251">
        <f t="shared" si="8"/>
        <v>0</v>
      </c>
      <c r="O137" s="251"/>
      <c r="P137" s="251"/>
      <c r="Q137" s="251"/>
      <c r="R137" s="140"/>
      <c r="T137" s="141" t="s">
        <v>5</v>
      </c>
      <c r="U137" s="42" t="s">
        <v>37</v>
      </c>
      <c r="V137" s="142">
        <v>0</v>
      </c>
      <c r="W137" s="142">
        <f t="shared" si="9"/>
        <v>0</v>
      </c>
      <c r="X137" s="142">
        <v>0</v>
      </c>
      <c r="Y137" s="142">
        <f t="shared" si="10"/>
        <v>0</v>
      </c>
      <c r="Z137" s="142">
        <v>0</v>
      </c>
      <c r="AA137" s="143">
        <f t="shared" si="11"/>
        <v>0</v>
      </c>
      <c r="AE137" s="144">
        <f t="shared" si="12"/>
        <v>0</v>
      </c>
      <c r="AF137" s="144">
        <f t="shared" si="13"/>
        <v>0</v>
      </c>
      <c r="AG137" s="144">
        <f t="shared" si="14"/>
        <v>0</v>
      </c>
      <c r="AH137" s="20" t="s">
        <v>73</v>
      </c>
      <c r="AI137" s="144">
        <f t="shared" si="15"/>
        <v>0</v>
      </c>
      <c r="AJ137" s="20" t="s">
        <v>127</v>
      </c>
      <c r="AK137" s="20" t="s">
        <v>220</v>
      </c>
    </row>
    <row r="138" spans="2:37" s="1" customFormat="1" ht="25.5" customHeight="1">
      <c r="B138" s="135"/>
      <c r="C138" s="136" t="s">
        <v>185</v>
      </c>
      <c r="D138" s="136" t="s">
        <v>125</v>
      </c>
      <c r="E138" s="137" t="s">
        <v>299</v>
      </c>
      <c r="F138" s="258" t="s">
        <v>300</v>
      </c>
      <c r="G138" s="258"/>
      <c r="H138" s="258"/>
      <c r="I138" s="258"/>
      <c r="J138" s="138" t="s">
        <v>257</v>
      </c>
      <c r="K138" s="139">
        <v>33</v>
      </c>
      <c r="L138" s="251">
        <v>0</v>
      </c>
      <c r="M138" s="251"/>
      <c r="N138" s="251">
        <f t="shared" si="8"/>
        <v>0</v>
      </c>
      <c r="O138" s="251"/>
      <c r="P138" s="251"/>
      <c r="Q138" s="251"/>
      <c r="R138" s="140"/>
      <c r="T138" s="141" t="s">
        <v>5</v>
      </c>
      <c r="U138" s="42" t="s">
        <v>37</v>
      </c>
      <c r="V138" s="142">
        <v>0</v>
      </c>
      <c r="W138" s="142">
        <f t="shared" si="9"/>
        <v>0</v>
      </c>
      <c r="X138" s="142">
        <v>0</v>
      </c>
      <c r="Y138" s="142">
        <f t="shared" si="10"/>
        <v>0</v>
      </c>
      <c r="Z138" s="142">
        <v>0</v>
      </c>
      <c r="AA138" s="143">
        <f t="shared" si="11"/>
        <v>0</v>
      </c>
      <c r="AE138" s="144">
        <f t="shared" si="12"/>
        <v>0</v>
      </c>
      <c r="AF138" s="144">
        <f t="shared" si="13"/>
        <v>0</v>
      </c>
      <c r="AG138" s="144">
        <f t="shared" si="14"/>
        <v>0</v>
      </c>
      <c r="AH138" s="20" t="s">
        <v>73</v>
      </c>
      <c r="AI138" s="144">
        <f t="shared" si="15"/>
        <v>0</v>
      </c>
      <c r="AJ138" s="20" t="s">
        <v>127</v>
      </c>
      <c r="AK138" s="20" t="s">
        <v>223</v>
      </c>
    </row>
    <row r="139" spans="2:37" s="1" customFormat="1" ht="25.5" customHeight="1">
      <c r="B139" s="135"/>
      <c r="C139" s="136" t="s">
        <v>186</v>
      </c>
      <c r="D139" s="136" t="s">
        <v>125</v>
      </c>
      <c r="E139" s="137" t="s">
        <v>301</v>
      </c>
      <c r="F139" s="258" t="s">
        <v>302</v>
      </c>
      <c r="G139" s="258"/>
      <c r="H139" s="258"/>
      <c r="I139" s="258"/>
      <c r="J139" s="138" t="s">
        <v>257</v>
      </c>
      <c r="K139" s="139">
        <v>2</v>
      </c>
      <c r="L139" s="251">
        <v>0</v>
      </c>
      <c r="M139" s="251"/>
      <c r="N139" s="251">
        <f t="shared" si="8"/>
        <v>0</v>
      </c>
      <c r="O139" s="251"/>
      <c r="P139" s="251"/>
      <c r="Q139" s="251"/>
      <c r="R139" s="140"/>
      <c r="T139" s="141" t="s">
        <v>5</v>
      </c>
      <c r="U139" s="42" t="s">
        <v>37</v>
      </c>
      <c r="V139" s="142">
        <v>0</v>
      </c>
      <c r="W139" s="142">
        <f t="shared" si="9"/>
        <v>0</v>
      </c>
      <c r="X139" s="142">
        <v>0</v>
      </c>
      <c r="Y139" s="142">
        <f t="shared" si="10"/>
        <v>0</v>
      </c>
      <c r="Z139" s="142">
        <v>0</v>
      </c>
      <c r="AA139" s="143">
        <f t="shared" si="11"/>
        <v>0</v>
      </c>
      <c r="AE139" s="144">
        <f t="shared" si="12"/>
        <v>0</v>
      </c>
      <c r="AF139" s="144">
        <f t="shared" si="13"/>
        <v>0</v>
      </c>
      <c r="AG139" s="144">
        <f t="shared" si="14"/>
        <v>0</v>
      </c>
      <c r="AH139" s="20" t="s">
        <v>73</v>
      </c>
      <c r="AI139" s="144">
        <f t="shared" si="15"/>
        <v>0</v>
      </c>
      <c r="AJ139" s="20" t="s">
        <v>127</v>
      </c>
      <c r="AK139" s="20" t="s">
        <v>224</v>
      </c>
    </row>
    <row r="140" spans="2:37" s="1" customFormat="1" ht="16.5" customHeight="1">
      <c r="B140" s="135"/>
      <c r="C140" s="136" t="s">
        <v>187</v>
      </c>
      <c r="D140" s="136" t="s">
        <v>125</v>
      </c>
      <c r="E140" s="137" t="s">
        <v>303</v>
      </c>
      <c r="F140" s="258" t="s">
        <v>304</v>
      </c>
      <c r="G140" s="258"/>
      <c r="H140" s="258"/>
      <c r="I140" s="258"/>
      <c r="J140" s="138" t="s">
        <v>257</v>
      </c>
      <c r="K140" s="139">
        <v>2</v>
      </c>
      <c r="L140" s="251">
        <v>0</v>
      </c>
      <c r="M140" s="251"/>
      <c r="N140" s="251">
        <f t="shared" si="8"/>
        <v>0</v>
      </c>
      <c r="O140" s="251"/>
      <c r="P140" s="251"/>
      <c r="Q140" s="251"/>
      <c r="R140" s="140"/>
      <c r="T140" s="141" t="s">
        <v>5</v>
      </c>
      <c r="U140" s="42" t="s">
        <v>37</v>
      </c>
      <c r="V140" s="142">
        <v>0</v>
      </c>
      <c r="W140" s="142">
        <f t="shared" si="9"/>
        <v>0</v>
      </c>
      <c r="X140" s="142">
        <v>0</v>
      </c>
      <c r="Y140" s="142">
        <f t="shared" si="10"/>
        <v>0</v>
      </c>
      <c r="Z140" s="142">
        <v>0</v>
      </c>
      <c r="AA140" s="143">
        <f t="shared" si="11"/>
        <v>0</v>
      </c>
      <c r="AE140" s="144">
        <f t="shared" si="12"/>
        <v>0</v>
      </c>
      <c r="AF140" s="144">
        <f t="shared" si="13"/>
        <v>0</v>
      </c>
      <c r="AG140" s="144">
        <f t="shared" si="14"/>
        <v>0</v>
      </c>
      <c r="AH140" s="20" t="s">
        <v>73</v>
      </c>
      <c r="AI140" s="144">
        <f t="shared" si="15"/>
        <v>0</v>
      </c>
      <c r="AJ140" s="20" t="s">
        <v>127</v>
      </c>
      <c r="AK140" s="20" t="s">
        <v>225</v>
      </c>
    </row>
    <row r="141" spans="2:37" s="1" customFormat="1" ht="16.5" customHeight="1">
      <c r="B141" s="135"/>
      <c r="C141" s="136" t="s">
        <v>190</v>
      </c>
      <c r="D141" s="136" t="s">
        <v>125</v>
      </c>
      <c r="E141" s="137" t="s">
        <v>305</v>
      </c>
      <c r="F141" s="258" t="s">
        <v>306</v>
      </c>
      <c r="G141" s="258"/>
      <c r="H141" s="258"/>
      <c r="I141" s="258"/>
      <c r="J141" s="138" t="s">
        <v>181</v>
      </c>
      <c r="K141" s="139">
        <v>1</v>
      </c>
      <c r="L141" s="251">
        <v>0</v>
      </c>
      <c r="M141" s="251"/>
      <c r="N141" s="251">
        <f t="shared" si="8"/>
        <v>0</v>
      </c>
      <c r="O141" s="251"/>
      <c r="P141" s="251"/>
      <c r="Q141" s="251"/>
      <c r="R141" s="140"/>
      <c r="T141" s="141" t="s">
        <v>5</v>
      </c>
      <c r="U141" s="42" t="s">
        <v>37</v>
      </c>
      <c r="V141" s="142">
        <v>0</v>
      </c>
      <c r="W141" s="142">
        <f t="shared" si="9"/>
        <v>0</v>
      </c>
      <c r="X141" s="142">
        <v>0</v>
      </c>
      <c r="Y141" s="142">
        <f t="shared" si="10"/>
        <v>0</v>
      </c>
      <c r="Z141" s="142">
        <v>0</v>
      </c>
      <c r="AA141" s="143">
        <f t="shared" si="11"/>
        <v>0</v>
      </c>
      <c r="AE141" s="144">
        <f t="shared" si="12"/>
        <v>0</v>
      </c>
      <c r="AF141" s="144">
        <f t="shared" si="13"/>
        <v>0</v>
      </c>
      <c r="AG141" s="144">
        <f t="shared" si="14"/>
        <v>0</v>
      </c>
      <c r="AH141" s="20" t="s">
        <v>73</v>
      </c>
      <c r="AI141" s="144">
        <f t="shared" si="15"/>
        <v>0</v>
      </c>
      <c r="AJ141" s="20" t="s">
        <v>127</v>
      </c>
      <c r="AK141" s="20" t="s">
        <v>230</v>
      </c>
    </row>
    <row r="142" spans="2:37" s="1" customFormat="1" ht="16.5" customHeight="1">
      <c r="B142" s="135"/>
      <c r="C142" s="136" t="s">
        <v>191</v>
      </c>
      <c r="D142" s="136" t="s">
        <v>125</v>
      </c>
      <c r="E142" s="137" t="s">
        <v>307</v>
      </c>
      <c r="F142" s="258" t="s">
        <v>308</v>
      </c>
      <c r="G142" s="258"/>
      <c r="H142" s="258"/>
      <c r="I142" s="258"/>
      <c r="J142" s="138" t="s">
        <v>181</v>
      </c>
      <c r="K142" s="139">
        <v>1</v>
      </c>
      <c r="L142" s="251">
        <v>0</v>
      </c>
      <c r="M142" s="251"/>
      <c r="N142" s="251">
        <f t="shared" si="8"/>
        <v>0</v>
      </c>
      <c r="O142" s="251"/>
      <c r="P142" s="251"/>
      <c r="Q142" s="251"/>
      <c r="R142" s="140"/>
      <c r="T142" s="141" t="s">
        <v>5</v>
      </c>
      <c r="U142" s="42" t="s">
        <v>37</v>
      </c>
      <c r="V142" s="142">
        <v>0</v>
      </c>
      <c r="W142" s="142">
        <f t="shared" si="9"/>
        <v>0</v>
      </c>
      <c r="X142" s="142">
        <v>0</v>
      </c>
      <c r="Y142" s="142">
        <f t="shared" si="10"/>
        <v>0</v>
      </c>
      <c r="Z142" s="142">
        <v>0</v>
      </c>
      <c r="AA142" s="143">
        <f t="shared" si="11"/>
        <v>0</v>
      </c>
      <c r="AE142" s="144">
        <f t="shared" si="12"/>
        <v>0</v>
      </c>
      <c r="AF142" s="144">
        <f t="shared" si="13"/>
        <v>0</v>
      </c>
      <c r="AG142" s="144">
        <f t="shared" si="14"/>
        <v>0</v>
      </c>
      <c r="AH142" s="20" t="s">
        <v>73</v>
      </c>
      <c r="AI142" s="144">
        <f t="shared" si="15"/>
        <v>0</v>
      </c>
      <c r="AJ142" s="20" t="s">
        <v>127</v>
      </c>
      <c r="AK142" s="20" t="s">
        <v>232</v>
      </c>
    </row>
    <row r="143" spans="2:37" s="1" customFormat="1" ht="25.5" customHeight="1">
      <c r="B143" s="135"/>
      <c r="C143" s="136" t="s">
        <v>71</v>
      </c>
      <c r="D143" s="136" t="s">
        <v>125</v>
      </c>
      <c r="E143" s="137" t="s">
        <v>309</v>
      </c>
      <c r="F143" s="258" t="s">
        <v>310</v>
      </c>
      <c r="G143" s="258"/>
      <c r="H143" s="258"/>
      <c r="I143" s="258"/>
      <c r="J143" s="138" t="s">
        <v>181</v>
      </c>
      <c r="K143" s="139">
        <v>1</v>
      </c>
      <c r="L143" s="251">
        <v>0</v>
      </c>
      <c r="M143" s="251"/>
      <c r="N143" s="251">
        <f t="shared" si="8"/>
        <v>0</v>
      </c>
      <c r="O143" s="251"/>
      <c r="P143" s="251"/>
      <c r="Q143" s="251"/>
      <c r="R143" s="140"/>
      <c r="T143" s="141" t="s">
        <v>5</v>
      </c>
      <c r="U143" s="42" t="s">
        <v>37</v>
      </c>
      <c r="V143" s="142">
        <v>0</v>
      </c>
      <c r="W143" s="142">
        <f t="shared" si="9"/>
        <v>0</v>
      </c>
      <c r="X143" s="142">
        <v>0</v>
      </c>
      <c r="Y143" s="142">
        <f t="shared" si="10"/>
        <v>0</v>
      </c>
      <c r="Z143" s="142">
        <v>0</v>
      </c>
      <c r="AA143" s="143">
        <f t="shared" si="11"/>
        <v>0</v>
      </c>
      <c r="AE143" s="144">
        <f t="shared" si="12"/>
        <v>0</v>
      </c>
      <c r="AF143" s="144">
        <f t="shared" si="13"/>
        <v>0</v>
      </c>
      <c r="AG143" s="144">
        <f t="shared" si="14"/>
        <v>0</v>
      </c>
      <c r="AH143" s="20" t="s">
        <v>73</v>
      </c>
      <c r="AI143" s="144">
        <f t="shared" si="15"/>
        <v>0</v>
      </c>
      <c r="AJ143" s="20" t="s">
        <v>127</v>
      </c>
      <c r="AK143" s="20" t="s">
        <v>235</v>
      </c>
    </row>
    <row r="144" spans="2:37" s="1" customFormat="1" ht="16.5" customHeight="1">
      <c r="B144" s="135"/>
      <c r="C144" s="136" t="s">
        <v>192</v>
      </c>
      <c r="D144" s="136" t="s">
        <v>125</v>
      </c>
      <c r="E144" s="137" t="s">
        <v>311</v>
      </c>
      <c r="F144" s="258" t="s">
        <v>312</v>
      </c>
      <c r="G144" s="258"/>
      <c r="H144" s="258"/>
      <c r="I144" s="258"/>
      <c r="J144" s="138" t="s">
        <v>257</v>
      </c>
      <c r="K144" s="139">
        <v>2</v>
      </c>
      <c r="L144" s="251">
        <v>0</v>
      </c>
      <c r="M144" s="251"/>
      <c r="N144" s="251">
        <f t="shared" si="8"/>
        <v>0</v>
      </c>
      <c r="O144" s="251"/>
      <c r="P144" s="251"/>
      <c r="Q144" s="251"/>
      <c r="R144" s="140"/>
      <c r="T144" s="141" t="s">
        <v>5</v>
      </c>
      <c r="U144" s="42" t="s">
        <v>37</v>
      </c>
      <c r="V144" s="142">
        <v>0</v>
      </c>
      <c r="W144" s="142">
        <f t="shared" si="9"/>
        <v>0</v>
      </c>
      <c r="X144" s="142">
        <v>0</v>
      </c>
      <c r="Y144" s="142">
        <f t="shared" si="10"/>
        <v>0</v>
      </c>
      <c r="Z144" s="142">
        <v>0</v>
      </c>
      <c r="AA144" s="143">
        <f t="shared" si="11"/>
        <v>0</v>
      </c>
      <c r="AE144" s="144">
        <f t="shared" si="12"/>
        <v>0</v>
      </c>
      <c r="AF144" s="144">
        <f t="shared" si="13"/>
        <v>0</v>
      </c>
      <c r="AG144" s="144">
        <f t="shared" si="14"/>
        <v>0</v>
      </c>
      <c r="AH144" s="20" t="s">
        <v>73</v>
      </c>
      <c r="AI144" s="144">
        <f t="shared" si="15"/>
        <v>0</v>
      </c>
      <c r="AJ144" s="20" t="s">
        <v>127</v>
      </c>
      <c r="AK144" s="20" t="s">
        <v>236</v>
      </c>
    </row>
    <row r="145" spans="2:37" s="1" customFormat="1" ht="16.5" customHeight="1">
      <c r="B145" s="135"/>
      <c r="C145" s="136" t="s">
        <v>196</v>
      </c>
      <c r="D145" s="136" t="s">
        <v>125</v>
      </c>
      <c r="E145" s="137" t="s">
        <v>313</v>
      </c>
      <c r="F145" s="258" t="s">
        <v>314</v>
      </c>
      <c r="G145" s="258"/>
      <c r="H145" s="258"/>
      <c r="I145" s="258"/>
      <c r="J145" s="138" t="s">
        <v>257</v>
      </c>
      <c r="K145" s="139">
        <v>2</v>
      </c>
      <c r="L145" s="251">
        <v>0</v>
      </c>
      <c r="M145" s="251"/>
      <c r="N145" s="251">
        <f t="shared" si="8"/>
        <v>0</v>
      </c>
      <c r="O145" s="251"/>
      <c r="P145" s="251"/>
      <c r="Q145" s="251"/>
      <c r="R145" s="140"/>
      <c r="T145" s="141" t="s">
        <v>5</v>
      </c>
      <c r="U145" s="42" t="s">
        <v>37</v>
      </c>
      <c r="V145" s="142">
        <v>0</v>
      </c>
      <c r="W145" s="142">
        <f t="shared" si="9"/>
        <v>0</v>
      </c>
      <c r="X145" s="142">
        <v>0</v>
      </c>
      <c r="Y145" s="142">
        <f t="shared" si="10"/>
        <v>0</v>
      </c>
      <c r="Z145" s="142">
        <v>0</v>
      </c>
      <c r="AA145" s="143">
        <f t="shared" si="11"/>
        <v>0</v>
      </c>
      <c r="AE145" s="144">
        <f t="shared" si="12"/>
        <v>0</v>
      </c>
      <c r="AF145" s="144">
        <f t="shared" si="13"/>
        <v>0</v>
      </c>
      <c r="AG145" s="144">
        <f t="shared" si="14"/>
        <v>0</v>
      </c>
      <c r="AH145" s="20" t="s">
        <v>73</v>
      </c>
      <c r="AI145" s="144">
        <f t="shared" si="15"/>
        <v>0</v>
      </c>
      <c r="AJ145" s="20" t="s">
        <v>127</v>
      </c>
      <c r="AK145" s="20" t="s">
        <v>237</v>
      </c>
    </row>
    <row r="146" spans="2:37" s="1" customFormat="1" ht="25.5" customHeight="1">
      <c r="B146" s="135"/>
      <c r="C146" s="136" t="s">
        <v>199</v>
      </c>
      <c r="D146" s="136" t="s">
        <v>125</v>
      </c>
      <c r="E146" s="137" t="s">
        <v>315</v>
      </c>
      <c r="F146" s="258" t="s">
        <v>316</v>
      </c>
      <c r="G146" s="258"/>
      <c r="H146" s="258"/>
      <c r="I146" s="258"/>
      <c r="J146" s="138" t="s">
        <v>181</v>
      </c>
      <c r="K146" s="139">
        <v>1</v>
      </c>
      <c r="L146" s="251">
        <v>0</v>
      </c>
      <c r="M146" s="251"/>
      <c r="N146" s="251">
        <f t="shared" si="8"/>
        <v>0</v>
      </c>
      <c r="O146" s="251"/>
      <c r="P146" s="251"/>
      <c r="Q146" s="251"/>
      <c r="R146" s="140"/>
      <c r="T146" s="141" t="s">
        <v>5</v>
      </c>
      <c r="U146" s="42" t="s">
        <v>37</v>
      </c>
      <c r="V146" s="142">
        <v>0</v>
      </c>
      <c r="W146" s="142">
        <f t="shared" si="9"/>
        <v>0</v>
      </c>
      <c r="X146" s="142">
        <v>0</v>
      </c>
      <c r="Y146" s="142">
        <f t="shared" si="10"/>
        <v>0</v>
      </c>
      <c r="Z146" s="142">
        <v>0</v>
      </c>
      <c r="AA146" s="143">
        <f t="shared" si="11"/>
        <v>0</v>
      </c>
      <c r="AE146" s="144">
        <f t="shared" si="12"/>
        <v>0</v>
      </c>
      <c r="AF146" s="144">
        <f t="shared" si="13"/>
        <v>0</v>
      </c>
      <c r="AG146" s="144">
        <f t="shared" si="14"/>
        <v>0</v>
      </c>
      <c r="AH146" s="20" t="s">
        <v>73</v>
      </c>
      <c r="AI146" s="144">
        <f t="shared" si="15"/>
        <v>0</v>
      </c>
      <c r="AJ146" s="20" t="s">
        <v>127</v>
      </c>
      <c r="AK146" s="20" t="s">
        <v>239</v>
      </c>
    </row>
    <row r="147" spans="2:37" s="1" customFormat="1" ht="16.5" customHeight="1">
      <c r="B147" s="135"/>
      <c r="C147" s="136" t="s">
        <v>203</v>
      </c>
      <c r="D147" s="136" t="s">
        <v>125</v>
      </c>
      <c r="E147" s="137" t="s">
        <v>317</v>
      </c>
      <c r="F147" s="258" t="s">
        <v>318</v>
      </c>
      <c r="G147" s="258"/>
      <c r="H147" s="258"/>
      <c r="I147" s="258"/>
      <c r="J147" s="138" t="s">
        <v>319</v>
      </c>
      <c r="K147" s="139">
        <v>1</v>
      </c>
      <c r="L147" s="251">
        <v>0</v>
      </c>
      <c r="M147" s="251"/>
      <c r="N147" s="251">
        <f t="shared" si="8"/>
        <v>0</v>
      </c>
      <c r="O147" s="251"/>
      <c r="P147" s="251"/>
      <c r="Q147" s="251"/>
      <c r="R147" s="140"/>
      <c r="T147" s="141" t="s">
        <v>5</v>
      </c>
      <c r="U147" s="42" t="s">
        <v>37</v>
      </c>
      <c r="V147" s="142">
        <v>0</v>
      </c>
      <c r="W147" s="142">
        <f t="shared" si="9"/>
        <v>0</v>
      </c>
      <c r="X147" s="142">
        <v>0</v>
      </c>
      <c r="Y147" s="142">
        <f t="shared" si="10"/>
        <v>0</v>
      </c>
      <c r="Z147" s="142">
        <v>0</v>
      </c>
      <c r="AA147" s="143">
        <f t="shared" si="11"/>
        <v>0</v>
      </c>
      <c r="AE147" s="144">
        <f t="shared" si="12"/>
        <v>0</v>
      </c>
      <c r="AF147" s="144">
        <f t="shared" si="13"/>
        <v>0</v>
      </c>
      <c r="AG147" s="144">
        <f t="shared" si="14"/>
        <v>0</v>
      </c>
      <c r="AH147" s="20" t="s">
        <v>73</v>
      </c>
      <c r="AI147" s="144">
        <f t="shared" si="15"/>
        <v>0</v>
      </c>
      <c r="AJ147" s="20" t="s">
        <v>127</v>
      </c>
      <c r="AK147" s="20" t="s">
        <v>240</v>
      </c>
    </row>
    <row r="148" spans="2:37" s="1" customFormat="1" ht="25.5" customHeight="1">
      <c r="B148" s="135"/>
      <c r="C148" s="136" t="s">
        <v>206</v>
      </c>
      <c r="D148" s="136" t="s">
        <v>125</v>
      </c>
      <c r="E148" s="137" t="s">
        <v>320</v>
      </c>
      <c r="F148" s="258" t="s">
        <v>321</v>
      </c>
      <c r="G148" s="258"/>
      <c r="H148" s="258"/>
      <c r="I148" s="258"/>
      <c r="J148" s="138" t="s">
        <v>181</v>
      </c>
      <c r="K148" s="139">
        <v>1</v>
      </c>
      <c r="L148" s="251">
        <v>0</v>
      </c>
      <c r="M148" s="251"/>
      <c r="N148" s="251">
        <f t="shared" si="8"/>
        <v>0</v>
      </c>
      <c r="O148" s="251"/>
      <c r="P148" s="251"/>
      <c r="Q148" s="251"/>
      <c r="R148" s="140"/>
      <c r="T148" s="141" t="s">
        <v>5</v>
      </c>
      <c r="U148" s="42" t="s">
        <v>37</v>
      </c>
      <c r="V148" s="142">
        <v>0</v>
      </c>
      <c r="W148" s="142">
        <f t="shared" si="9"/>
        <v>0</v>
      </c>
      <c r="X148" s="142">
        <v>0</v>
      </c>
      <c r="Y148" s="142">
        <f t="shared" si="10"/>
        <v>0</v>
      </c>
      <c r="Z148" s="142">
        <v>0</v>
      </c>
      <c r="AA148" s="143">
        <f t="shared" si="11"/>
        <v>0</v>
      </c>
      <c r="AE148" s="144">
        <f t="shared" si="12"/>
        <v>0</v>
      </c>
      <c r="AF148" s="144">
        <f t="shared" si="13"/>
        <v>0</v>
      </c>
      <c r="AG148" s="144">
        <f t="shared" si="14"/>
        <v>0</v>
      </c>
      <c r="AH148" s="20" t="s">
        <v>73</v>
      </c>
      <c r="AI148" s="144">
        <f t="shared" si="15"/>
        <v>0</v>
      </c>
      <c r="AJ148" s="20" t="s">
        <v>127</v>
      </c>
      <c r="AK148" s="20" t="s">
        <v>241</v>
      </c>
    </row>
    <row r="149" spans="2:37" s="1" customFormat="1" ht="25.5" customHeight="1">
      <c r="B149" s="135"/>
      <c r="C149" s="136" t="s">
        <v>206</v>
      </c>
      <c r="D149" s="136" t="s">
        <v>125</v>
      </c>
      <c r="E149" s="137" t="s">
        <v>322</v>
      </c>
      <c r="F149" s="258" t="s">
        <v>323</v>
      </c>
      <c r="G149" s="258"/>
      <c r="H149" s="258"/>
      <c r="I149" s="258"/>
      <c r="J149" s="138" t="s">
        <v>181</v>
      </c>
      <c r="K149" s="139">
        <v>1</v>
      </c>
      <c r="L149" s="251">
        <v>0</v>
      </c>
      <c r="M149" s="251"/>
      <c r="N149" s="251">
        <f t="shared" si="8"/>
        <v>0</v>
      </c>
      <c r="O149" s="251"/>
      <c r="P149" s="251"/>
      <c r="Q149" s="251"/>
      <c r="R149" s="140"/>
      <c r="T149" s="141" t="s">
        <v>5</v>
      </c>
      <c r="U149" s="42" t="s">
        <v>37</v>
      </c>
      <c r="V149" s="142">
        <v>0</v>
      </c>
      <c r="W149" s="142">
        <f t="shared" si="9"/>
        <v>0</v>
      </c>
      <c r="X149" s="142">
        <v>0</v>
      </c>
      <c r="Y149" s="142">
        <f t="shared" si="10"/>
        <v>0</v>
      </c>
      <c r="Z149" s="142">
        <v>0</v>
      </c>
      <c r="AA149" s="143">
        <f t="shared" si="11"/>
        <v>0</v>
      </c>
      <c r="AE149" s="144">
        <f t="shared" si="12"/>
        <v>0</v>
      </c>
      <c r="AF149" s="144">
        <f t="shared" si="13"/>
        <v>0</v>
      </c>
      <c r="AG149" s="144">
        <f t="shared" si="14"/>
        <v>0</v>
      </c>
      <c r="AH149" s="20" t="s">
        <v>73</v>
      </c>
      <c r="AI149" s="144">
        <f t="shared" si="15"/>
        <v>0</v>
      </c>
      <c r="AJ149" s="20" t="s">
        <v>127</v>
      </c>
      <c r="AK149" s="20" t="s">
        <v>242</v>
      </c>
    </row>
    <row r="150" spans="2:37" s="1" customFormat="1" ht="25.5" customHeight="1">
      <c r="B150" s="135"/>
      <c r="C150" s="136" t="s">
        <v>209</v>
      </c>
      <c r="D150" s="136" t="s">
        <v>125</v>
      </c>
      <c r="E150" s="137" t="s">
        <v>324</v>
      </c>
      <c r="F150" s="258" t="s">
        <v>325</v>
      </c>
      <c r="G150" s="258"/>
      <c r="H150" s="258"/>
      <c r="I150" s="258"/>
      <c r="J150" s="138" t="s">
        <v>181</v>
      </c>
      <c r="K150" s="139">
        <v>40</v>
      </c>
      <c r="L150" s="251">
        <v>0</v>
      </c>
      <c r="M150" s="251"/>
      <c r="N150" s="251">
        <f t="shared" si="8"/>
        <v>0</v>
      </c>
      <c r="O150" s="251"/>
      <c r="P150" s="251"/>
      <c r="Q150" s="251"/>
      <c r="R150" s="140"/>
      <c r="T150" s="141" t="s">
        <v>5</v>
      </c>
      <c r="U150" s="42" t="s">
        <v>37</v>
      </c>
      <c r="V150" s="142">
        <v>0</v>
      </c>
      <c r="W150" s="142">
        <f t="shared" si="9"/>
        <v>0</v>
      </c>
      <c r="X150" s="142">
        <v>0</v>
      </c>
      <c r="Y150" s="142">
        <f t="shared" si="10"/>
        <v>0</v>
      </c>
      <c r="Z150" s="142">
        <v>0</v>
      </c>
      <c r="AA150" s="143">
        <f t="shared" si="11"/>
        <v>0</v>
      </c>
      <c r="AE150" s="144">
        <f t="shared" si="12"/>
        <v>0</v>
      </c>
      <c r="AF150" s="144">
        <f t="shared" si="13"/>
        <v>0</v>
      </c>
      <c r="AG150" s="144">
        <f t="shared" si="14"/>
        <v>0</v>
      </c>
      <c r="AH150" s="20" t="s">
        <v>73</v>
      </c>
      <c r="AI150" s="144">
        <f t="shared" si="15"/>
        <v>0</v>
      </c>
      <c r="AJ150" s="20" t="s">
        <v>127</v>
      </c>
      <c r="AK150" s="20" t="s">
        <v>243</v>
      </c>
    </row>
    <row r="151" spans="2:37" s="9" customFormat="1" ht="29.85" customHeight="1">
      <c r="B151" s="125"/>
      <c r="C151" s="126"/>
      <c r="D151" s="134" t="s">
        <v>254</v>
      </c>
      <c r="E151" s="134"/>
      <c r="F151" s="134"/>
      <c r="G151" s="134"/>
      <c r="H151" s="134"/>
      <c r="I151" s="134"/>
      <c r="J151" s="134"/>
      <c r="K151" s="134"/>
      <c r="L151" s="134"/>
      <c r="M151" s="134"/>
      <c r="N151" s="294">
        <f>AI151</f>
        <v>0</v>
      </c>
      <c r="O151" s="295"/>
      <c r="P151" s="295"/>
      <c r="Q151" s="295"/>
      <c r="R151" s="128"/>
      <c r="T151" s="129"/>
      <c r="U151" s="126"/>
      <c r="V151" s="126"/>
      <c r="W151" s="130">
        <f>SUM(W152:W153)</f>
        <v>0</v>
      </c>
      <c r="X151" s="126"/>
      <c r="Y151" s="130">
        <f>SUM(Y152:Y153)</f>
        <v>0</v>
      </c>
      <c r="Z151" s="126"/>
      <c r="AA151" s="131">
        <f>SUM(AA152:AA153)</f>
        <v>0</v>
      </c>
      <c r="AI151" s="133">
        <f>SUM(AI152:AI153)</f>
        <v>0</v>
      </c>
    </row>
    <row r="152" spans="2:37" s="1" customFormat="1" ht="16.5" customHeight="1">
      <c r="B152" s="135"/>
      <c r="C152" s="136" t="s">
        <v>71</v>
      </c>
      <c r="D152" s="136" t="s">
        <v>125</v>
      </c>
      <c r="E152" s="137" t="s">
        <v>326</v>
      </c>
      <c r="F152" s="258" t="s">
        <v>327</v>
      </c>
      <c r="G152" s="258"/>
      <c r="H152" s="258"/>
      <c r="I152" s="258"/>
      <c r="J152" s="138" t="s">
        <v>181</v>
      </c>
      <c r="K152" s="139">
        <v>1</v>
      </c>
      <c r="L152" s="251">
        <v>0</v>
      </c>
      <c r="M152" s="251"/>
      <c r="N152" s="251">
        <f>ROUND(L152*K152,2)</f>
        <v>0</v>
      </c>
      <c r="O152" s="251"/>
      <c r="P152" s="251"/>
      <c r="Q152" s="251"/>
      <c r="R152" s="140"/>
      <c r="T152" s="141" t="s">
        <v>5</v>
      </c>
      <c r="U152" s="42" t="s">
        <v>37</v>
      </c>
      <c r="V152" s="142">
        <v>0</v>
      </c>
      <c r="W152" s="142">
        <f>V152*K152</f>
        <v>0</v>
      </c>
      <c r="X152" s="142">
        <v>0</v>
      </c>
      <c r="Y152" s="142">
        <f>X152*K152</f>
        <v>0</v>
      </c>
      <c r="Z152" s="142">
        <v>0</v>
      </c>
      <c r="AA152" s="143">
        <f>Z152*K152</f>
        <v>0</v>
      </c>
      <c r="AE152" s="144">
        <f>IF(U152="zákl. přenesená",N152,0)</f>
        <v>0</v>
      </c>
      <c r="AF152" s="144">
        <f>IF(U152="sníž. přenesená",N152,0)</f>
        <v>0</v>
      </c>
      <c r="AG152" s="144">
        <f>IF(U152="nulová",N152,0)</f>
        <v>0</v>
      </c>
      <c r="AH152" s="20" t="s">
        <v>73</v>
      </c>
      <c r="AI152" s="144">
        <f>ROUND(L152*K152,2)</f>
        <v>0</v>
      </c>
      <c r="AJ152" s="20" t="s">
        <v>127</v>
      </c>
      <c r="AK152" s="20" t="s">
        <v>244</v>
      </c>
    </row>
    <row r="153" spans="2:37" s="1" customFormat="1" ht="16.5" customHeight="1">
      <c r="B153" s="135"/>
      <c r="C153" s="136" t="s">
        <v>71</v>
      </c>
      <c r="D153" s="136" t="s">
        <v>125</v>
      </c>
      <c r="E153" s="137" t="s">
        <v>328</v>
      </c>
      <c r="F153" s="258" t="s">
        <v>329</v>
      </c>
      <c r="G153" s="258"/>
      <c r="H153" s="258"/>
      <c r="I153" s="258"/>
      <c r="J153" s="138" t="s">
        <v>181</v>
      </c>
      <c r="K153" s="139">
        <v>1</v>
      </c>
      <c r="L153" s="251">
        <v>0</v>
      </c>
      <c r="M153" s="251"/>
      <c r="N153" s="251">
        <f>ROUND(L153*K153,2)</f>
        <v>0</v>
      </c>
      <c r="O153" s="251"/>
      <c r="P153" s="251"/>
      <c r="Q153" s="251"/>
      <c r="R153" s="140"/>
      <c r="T153" s="141" t="s">
        <v>5</v>
      </c>
      <c r="U153" s="169" t="s">
        <v>37</v>
      </c>
      <c r="V153" s="170">
        <v>0</v>
      </c>
      <c r="W153" s="170">
        <f>V153*K153</f>
        <v>0</v>
      </c>
      <c r="X153" s="170">
        <v>0</v>
      </c>
      <c r="Y153" s="170">
        <f>X153*K153</f>
        <v>0</v>
      </c>
      <c r="Z153" s="170">
        <v>0</v>
      </c>
      <c r="AA153" s="171">
        <f>Z153*K153</f>
        <v>0</v>
      </c>
      <c r="AE153" s="144">
        <f>IF(U153="zákl. přenesená",N153,0)</f>
        <v>0</v>
      </c>
      <c r="AF153" s="144">
        <f>IF(U153="sníž. přenesená",N153,0)</f>
        <v>0</v>
      </c>
      <c r="AG153" s="144">
        <f>IF(U153="nulová",N153,0)</f>
        <v>0</v>
      </c>
      <c r="AH153" s="20" t="s">
        <v>73</v>
      </c>
      <c r="AI153" s="144">
        <f>ROUND(L153*K153,2)</f>
        <v>0</v>
      </c>
      <c r="AJ153" s="20" t="s">
        <v>127</v>
      </c>
      <c r="AK153" s="20" t="s">
        <v>245</v>
      </c>
    </row>
    <row r="154" spans="2:37" s="1" customFormat="1" ht="6.95" customHeight="1">
      <c r="B154" s="57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9"/>
    </row>
  </sheetData>
  <customSheetViews>
    <customSheetView guid="{182649BD-95A6-4BAE-AF43-DC5E29303FC2}" showGridLines="0" fitToPage="1" hiddenRows="1" hiddenColumns="1">
      <pane ySplit="1" topLeftCell="A2" activePane="bottomLeft" state="frozen"/>
      <selection pane="bottomLeft" activeCell="AC27" sqref="AC27"/>
      <pageMargins left="0.58333330000000005" right="0.58333330000000005" top="0.5" bottom="0.46666669999999999" header="0" footer="0"/>
      <pageSetup paperSize="9" fitToHeight="100" blackAndWhite="1"/>
      <headerFooter>
        <oddFooter>&amp;CStrana &amp;P z &amp;N</oddFooter>
      </headerFooter>
    </customSheetView>
  </customSheetViews>
  <mergeCells count="167">
    <mergeCell ref="F152:I152"/>
    <mergeCell ref="F150:I150"/>
    <mergeCell ref="F153:I153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M36:P36"/>
    <mergeCell ref="L38:P38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13:Q113"/>
    <mergeCell ref="N114:Q114"/>
    <mergeCell ref="N115:Q115"/>
    <mergeCell ref="F116:I116"/>
    <mergeCell ref="F118:I118"/>
    <mergeCell ref="L116:M116"/>
    <mergeCell ref="N116:Q116"/>
    <mergeCell ref="F117:I117"/>
    <mergeCell ref="L117:M117"/>
    <mergeCell ref="N117:Q117"/>
    <mergeCell ref="L118:M118"/>
    <mergeCell ref="N118:Q118"/>
    <mergeCell ref="F119:I119"/>
    <mergeCell ref="F121:I121"/>
    <mergeCell ref="F120:I120"/>
    <mergeCell ref="L119:M119"/>
    <mergeCell ref="N119:Q119"/>
    <mergeCell ref="L120:M120"/>
    <mergeCell ref="N120:Q120"/>
    <mergeCell ref="L121:M121"/>
    <mergeCell ref="N121:Q121"/>
    <mergeCell ref="F122:I122"/>
    <mergeCell ref="F124:I124"/>
    <mergeCell ref="L122:M122"/>
    <mergeCell ref="N122:Q122"/>
    <mergeCell ref="F123:I123"/>
    <mergeCell ref="L123:M123"/>
    <mergeCell ref="N123:Q123"/>
    <mergeCell ref="L124:M124"/>
    <mergeCell ref="N124:Q124"/>
    <mergeCell ref="F125:I125"/>
    <mergeCell ref="F127:I127"/>
    <mergeCell ref="L125:M125"/>
    <mergeCell ref="N125:Q125"/>
    <mergeCell ref="F126:I126"/>
    <mergeCell ref="L126:M126"/>
    <mergeCell ref="N126:Q126"/>
    <mergeCell ref="L127:M127"/>
    <mergeCell ref="N127:Q127"/>
    <mergeCell ref="F128:I128"/>
    <mergeCell ref="F130:I130"/>
    <mergeCell ref="L128:M128"/>
    <mergeCell ref="N128:Q128"/>
    <mergeCell ref="F129:I129"/>
    <mergeCell ref="L129:M129"/>
    <mergeCell ref="N129:Q129"/>
    <mergeCell ref="L130:M130"/>
    <mergeCell ref="N130:Q130"/>
    <mergeCell ref="L148:M148"/>
    <mergeCell ref="L149:M149"/>
    <mergeCell ref="L150:M150"/>
    <mergeCell ref="L152:M152"/>
    <mergeCell ref="L131:M131"/>
    <mergeCell ref="N131:Q131"/>
    <mergeCell ref="L132:M132"/>
    <mergeCell ref="N132:Q132"/>
    <mergeCell ref="L142:M142"/>
    <mergeCell ref="L140:M140"/>
    <mergeCell ref="L137:M137"/>
    <mergeCell ref="L138:M138"/>
    <mergeCell ref="L139:M139"/>
    <mergeCell ref="L141:M141"/>
    <mergeCell ref="L153:M153"/>
    <mergeCell ref="F131:I131"/>
    <mergeCell ref="F134:I134"/>
    <mergeCell ref="F132:I132"/>
    <mergeCell ref="N147:Q147"/>
    <mergeCell ref="N146:Q146"/>
    <mergeCell ref="N148:Q148"/>
    <mergeCell ref="N149:Q149"/>
    <mergeCell ref="N150:Q150"/>
    <mergeCell ref="N152:Q152"/>
    <mergeCell ref="N153:Q153"/>
    <mergeCell ref="N151:Q151"/>
    <mergeCell ref="L134:M134"/>
    <mergeCell ref="N134:Q134"/>
    <mergeCell ref="L135:M135"/>
    <mergeCell ref="N135:Q135"/>
    <mergeCell ref="L136:M136"/>
    <mergeCell ref="N136:Q136"/>
    <mergeCell ref="N137:Q137"/>
    <mergeCell ref="N138:Q138"/>
    <mergeCell ref="N139:Q139"/>
    <mergeCell ref="N140:Q140"/>
    <mergeCell ref="N141:Q141"/>
    <mergeCell ref="N142:Q142"/>
    <mergeCell ref="F146:I146"/>
    <mergeCell ref="F147:I147"/>
    <mergeCell ref="F148:I148"/>
    <mergeCell ref="F149:I149"/>
    <mergeCell ref="N143:Q143"/>
    <mergeCell ref="N144:Q144"/>
    <mergeCell ref="N145:Q145"/>
    <mergeCell ref="N133:Q133"/>
    <mergeCell ref="F135:I135"/>
    <mergeCell ref="F138:I138"/>
    <mergeCell ref="F136:I136"/>
    <mergeCell ref="F137:I137"/>
    <mergeCell ref="F139:I139"/>
    <mergeCell ref="F140:I140"/>
    <mergeCell ref="F141:I141"/>
    <mergeCell ref="F142:I142"/>
    <mergeCell ref="F143:I143"/>
    <mergeCell ref="F144:I144"/>
    <mergeCell ref="F145:I145"/>
    <mergeCell ref="L143:M143"/>
    <mergeCell ref="L144:M144"/>
    <mergeCell ref="L145:M145"/>
    <mergeCell ref="L146:M146"/>
    <mergeCell ref="L147:M147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92"/>
  <sheetViews>
    <sheetView showGridLines="0" zoomScaleNormal="100" workbookViewId="0">
      <pane ySplit="1" topLeftCell="A43" activePane="bottomLeft" state="frozen"/>
      <selection pane="bottomLeft" activeCell="AD61" sqref="AD6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3.332031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3.6640625" customWidth="1"/>
    <col min="30" max="30" width="8.33203125" style="176" customWidth="1"/>
    <col min="31" max="37" width="9.33203125" hidden="1"/>
  </cols>
  <sheetData>
    <row r="1" spans="1:38" ht="21.75" customHeight="1">
      <c r="A1" s="100"/>
      <c r="B1" s="14"/>
      <c r="C1" s="14"/>
      <c r="D1" s="15" t="s">
        <v>1</v>
      </c>
      <c r="E1" s="14"/>
      <c r="F1" s="16" t="s">
        <v>86</v>
      </c>
      <c r="G1" s="16"/>
      <c r="H1" s="285" t="s">
        <v>87</v>
      </c>
      <c r="I1" s="285"/>
      <c r="J1" s="285"/>
      <c r="K1" s="285"/>
      <c r="L1" s="16" t="s">
        <v>88</v>
      </c>
      <c r="M1" s="14"/>
      <c r="N1" s="14"/>
      <c r="O1" s="15" t="s">
        <v>89</v>
      </c>
      <c r="P1" s="14"/>
      <c r="Q1" s="14"/>
      <c r="R1" s="14"/>
      <c r="S1" s="16" t="s">
        <v>90</v>
      </c>
      <c r="T1" s="16"/>
      <c r="U1" s="100"/>
      <c r="V1" s="100"/>
      <c r="W1" s="17"/>
      <c r="X1" s="17"/>
      <c r="Y1" s="17"/>
      <c r="Z1" s="17"/>
      <c r="AA1" s="17"/>
      <c r="AB1" s="17"/>
      <c r="AC1" s="17"/>
      <c r="AD1" s="100"/>
      <c r="AE1" s="17"/>
      <c r="AF1" s="17"/>
      <c r="AG1" s="17"/>
      <c r="AH1" s="17"/>
      <c r="AI1" s="17"/>
      <c r="AJ1" s="17"/>
      <c r="AK1" s="17"/>
      <c r="AL1" s="17"/>
    </row>
    <row r="2" spans="1:38" ht="36.950000000000003" customHeight="1">
      <c r="C2" s="245" t="s">
        <v>6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S2" s="243" t="s">
        <v>7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</row>
    <row r="3" spans="1:38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38" ht="36.950000000000003" customHeight="1">
      <c r="B4" s="24"/>
      <c r="C4" s="241" t="s">
        <v>92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5"/>
      <c r="T4" s="19" t="s">
        <v>11</v>
      </c>
    </row>
    <row r="5" spans="1:38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1:38" ht="25.35" customHeight="1">
      <c r="B6" s="24"/>
      <c r="C6" s="26"/>
      <c r="D6" s="30" t="s">
        <v>14</v>
      </c>
      <c r="E6" s="26"/>
      <c r="F6" s="272" t="str">
        <f>'Rekapitulace stavby'!K6</f>
        <v>Oprava fasády objektů nemocnice Horní Beřkovice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6"/>
      <c r="R6" s="25"/>
    </row>
    <row r="7" spans="1:38" s="1" customFormat="1" ht="32.85" customHeight="1">
      <c r="B7" s="33"/>
      <c r="C7" s="34"/>
      <c r="D7" s="29" t="s">
        <v>93</v>
      </c>
      <c r="E7" s="34"/>
      <c r="F7" s="249" t="s">
        <v>383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34"/>
      <c r="R7" s="35"/>
    </row>
    <row r="8" spans="1:38" s="1" customFormat="1" ht="14.45" customHeight="1">
      <c r="B8" s="33"/>
      <c r="C8" s="34"/>
      <c r="D8" s="30" t="s">
        <v>16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17</v>
      </c>
      <c r="N8" s="34"/>
      <c r="O8" s="28" t="s">
        <v>5</v>
      </c>
      <c r="P8" s="34"/>
      <c r="Q8" s="34"/>
      <c r="R8" s="35"/>
    </row>
    <row r="9" spans="1:38" s="1" customFormat="1" ht="14.45" customHeight="1">
      <c r="B9" s="33"/>
      <c r="C9" s="34"/>
      <c r="D9" s="30" t="s">
        <v>18</v>
      </c>
      <c r="E9" s="34"/>
      <c r="F9" s="28" t="s">
        <v>19</v>
      </c>
      <c r="G9" s="34"/>
      <c r="H9" s="34"/>
      <c r="I9" s="34"/>
      <c r="J9" s="34"/>
      <c r="K9" s="34"/>
      <c r="L9" s="34"/>
      <c r="M9" s="30" t="s">
        <v>20</v>
      </c>
      <c r="N9" s="34"/>
      <c r="O9" s="290" t="str">
        <f>'Rekapitulace stavby'!AN8</f>
        <v>01/2020</v>
      </c>
      <c r="P9" s="290"/>
      <c r="Q9" s="34"/>
      <c r="R9" s="35"/>
    </row>
    <row r="10" spans="1:3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181"/>
      <c r="P10" s="181"/>
      <c r="Q10" s="34"/>
      <c r="R10" s="35"/>
    </row>
    <row r="11" spans="1:38" s="1" customFormat="1" ht="14.45" customHeight="1">
      <c r="B11" s="33"/>
      <c r="C11" s="34"/>
      <c r="D11" s="30" t="s">
        <v>21</v>
      </c>
      <c r="E11" s="34"/>
      <c r="F11" s="34"/>
      <c r="G11" s="34"/>
      <c r="H11" s="34"/>
      <c r="I11" s="34"/>
      <c r="J11" s="34"/>
      <c r="K11" s="34"/>
      <c r="L11" s="34"/>
      <c r="M11" s="30" t="s">
        <v>22</v>
      </c>
      <c r="N11" s="34"/>
      <c r="O11" s="291" t="s">
        <v>473</v>
      </c>
      <c r="P11" s="290"/>
      <c r="Q11" s="34"/>
      <c r="R11" s="35"/>
    </row>
    <row r="12" spans="1:38" s="1" customFormat="1" ht="18" customHeight="1">
      <c r="B12" s="33"/>
      <c r="C12" s="34"/>
      <c r="D12" s="34"/>
      <c r="E12" s="28" t="s">
        <v>23</v>
      </c>
      <c r="F12" s="34"/>
      <c r="G12" s="34"/>
      <c r="H12" s="34"/>
      <c r="I12" s="34"/>
      <c r="J12" s="34"/>
      <c r="K12" s="34"/>
      <c r="L12" s="34"/>
      <c r="M12" s="30" t="s">
        <v>24</v>
      </c>
      <c r="N12" s="34"/>
      <c r="O12" s="290" t="s">
        <v>5</v>
      </c>
      <c r="P12" s="290"/>
      <c r="Q12" s="34"/>
      <c r="R12" s="35"/>
    </row>
    <row r="13" spans="1:3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181"/>
      <c r="P13" s="181"/>
      <c r="Q13" s="34"/>
      <c r="R13" s="35"/>
    </row>
    <row r="14" spans="1:38" s="1" customFormat="1" ht="14.45" customHeight="1">
      <c r="B14" s="33"/>
      <c r="C14" s="34"/>
      <c r="D14" s="30" t="s">
        <v>25</v>
      </c>
      <c r="E14" s="34"/>
      <c r="F14" s="34"/>
      <c r="G14" s="34"/>
      <c r="H14" s="34"/>
      <c r="I14" s="34"/>
      <c r="J14" s="34"/>
      <c r="K14" s="34"/>
      <c r="L14" s="34"/>
      <c r="M14" s="30" t="s">
        <v>22</v>
      </c>
      <c r="N14" s="34"/>
      <c r="O14" s="290" t="str">
        <f>IF('Rekapitulace stavby'!AN13="","",'Rekapitulace stavby'!AN13)</f>
        <v/>
      </c>
      <c r="P14" s="290"/>
      <c r="Q14" s="34"/>
      <c r="R14" s="35"/>
    </row>
    <row r="15" spans="1:38" s="1" customFormat="1" ht="18" customHeight="1">
      <c r="B15" s="33"/>
      <c r="C15" s="34"/>
      <c r="D15" s="34"/>
      <c r="E15" s="28" t="str">
        <f>IF('Rekapitulace stavby'!E14="","",'Rekapitulace stavby'!E14)</f>
        <v xml:space="preserve"> </v>
      </c>
      <c r="F15" s="34"/>
      <c r="G15" s="34"/>
      <c r="H15" s="34"/>
      <c r="I15" s="34"/>
      <c r="J15" s="34"/>
      <c r="K15" s="34"/>
      <c r="L15" s="34"/>
      <c r="M15" s="30" t="s">
        <v>24</v>
      </c>
      <c r="N15" s="34"/>
      <c r="O15" s="290" t="str">
        <f>IF('Rekapitulace stavby'!AN14="","",'Rekapitulace stavby'!AN14)</f>
        <v/>
      </c>
      <c r="P15" s="290"/>
      <c r="Q15" s="34"/>
      <c r="R15" s="35"/>
    </row>
    <row r="16" spans="1:3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181"/>
      <c r="P16" s="181"/>
      <c r="Q16" s="34"/>
      <c r="R16" s="35"/>
    </row>
    <row r="17" spans="2:41" s="1" customFormat="1" ht="14.45" customHeight="1">
      <c r="B17" s="33"/>
      <c r="C17" s="34"/>
      <c r="D17" s="30" t="s">
        <v>27</v>
      </c>
      <c r="E17" s="34"/>
      <c r="F17" s="34"/>
      <c r="G17" s="34"/>
      <c r="H17" s="34"/>
      <c r="I17" s="34"/>
      <c r="J17" s="34"/>
      <c r="K17" s="34"/>
      <c r="L17" s="34"/>
      <c r="M17" s="30" t="s">
        <v>22</v>
      </c>
      <c r="N17" s="34"/>
      <c r="O17" s="290" t="s">
        <v>5</v>
      </c>
      <c r="P17" s="290"/>
      <c r="Q17" s="34"/>
      <c r="R17" s="35"/>
    </row>
    <row r="18" spans="2:41" s="1" customFormat="1" ht="18" customHeight="1">
      <c r="B18" s="33"/>
      <c r="C18" s="34"/>
      <c r="D18" s="34"/>
      <c r="E18" s="28" t="s">
        <v>28</v>
      </c>
      <c r="F18" s="34"/>
      <c r="G18" s="34"/>
      <c r="H18" s="34"/>
      <c r="I18" s="34"/>
      <c r="J18" s="34"/>
      <c r="K18" s="34"/>
      <c r="L18" s="34"/>
      <c r="M18" s="30" t="s">
        <v>24</v>
      </c>
      <c r="N18" s="34"/>
      <c r="O18" s="290" t="s">
        <v>5</v>
      </c>
      <c r="P18" s="290"/>
      <c r="Q18" s="34"/>
      <c r="R18" s="35"/>
      <c r="AD18" s="211"/>
      <c r="AE18" s="211"/>
      <c r="AF18" s="211"/>
      <c r="AG18" s="211"/>
      <c r="AH18" s="211"/>
      <c r="AI18" s="211"/>
      <c r="AJ18" s="211"/>
      <c r="AK18" s="211"/>
      <c r="AL18" s="211"/>
    </row>
    <row r="19" spans="2:41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81"/>
      <c r="P19" s="181"/>
      <c r="Q19" s="34"/>
      <c r="R19" s="35"/>
      <c r="AD19" s="211"/>
      <c r="AE19" s="211"/>
      <c r="AF19" s="211"/>
      <c r="AG19" s="211"/>
      <c r="AH19" s="211"/>
      <c r="AI19" s="211"/>
      <c r="AJ19" s="211"/>
      <c r="AK19" s="211"/>
      <c r="AL19" s="211"/>
    </row>
    <row r="20" spans="2:41" s="1" customFormat="1" ht="14.45" customHeight="1">
      <c r="B20" s="33"/>
      <c r="C20" s="34"/>
      <c r="D20" s="30" t="s">
        <v>30</v>
      </c>
      <c r="E20" s="34"/>
      <c r="F20" s="34"/>
      <c r="G20" s="34"/>
      <c r="H20" s="34"/>
      <c r="I20" s="34"/>
      <c r="J20" s="34"/>
      <c r="K20" s="34"/>
      <c r="L20" s="34"/>
      <c r="M20" s="30" t="s">
        <v>22</v>
      </c>
      <c r="N20" s="34"/>
      <c r="O20" s="290" t="s">
        <v>5</v>
      </c>
      <c r="P20" s="290"/>
      <c r="Q20" s="34"/>
      <c r="R20" s="35"/>
      <c r="AD20" s="211"/>
      <c r="AE20" s="211"/>
      <c r="AF20" s="211"/>
      <c r="AG20" s="211"/>
      <c r="AH20" s="211"/>
      <c r="AI20" s="211"/>
      <c r="AJ20" s="211"/>
      <c r="AK20" s="211"/>
      <c r="AL20" s="211"/>
    </row>
    <row r="21" spans="2:41" s="1" customFormat="1" ht="18" customHeight="1">
      <c r="B21" s="33"/>
      <c r="C21" s="34"/>
      <c r="D21" s="34"/>
      <c r="E21" s="28"/>
      <c r="F21" s="34"/>
      <c r="G21" s="34"/>
      <c r="H21" s="34"/>
      <c r="I21" s="34"/>
      <c r="J21" s="34"/>
      <c r="K21" s="34"/>
      <c r="L21" s="34"/>
      <c r="M21" s="30" t="s">
        <v>24</v>
      </c>
      <c r="N21" s="34"/>
      <c r="O21" s="290" t="s">
        <v>5</v>
      </c>
      <c r="P21" s="290"/>
      <c r="Q21" s="34"/>
      <c r="R21" s="35"/>
      <c r="AD21" s="212"/>
      <c r="AE21" s="212"/>
      <c r="AF21" s="212"/>
      <c r="AG21" s="212"/>
      <c r="AH21" s="212"/>
      <c r="AI21" s="212"/>
      <c r="AJ21" s="212"/>
      <c r="AK21" s="212"/>
      <c r="AL21" s="212"/>
    </row>
    <row r="22" spans="2:41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81"/>
      <c r="P22" s="181"/>
      <c r="Q22" s="34"/>
      <c r="R22" s="35"/>
      <c r="AC22" s="183"/>
      <c r="AD22" s="213"/>
      <c r="AE22" s="213"/>
      <c r="AF22" s="213"/>
      <c r="AG22" s="213"/>
      <c r="AH22" s="213"/>
      <c r="AI22" s="213"/>
      <c r="AJ22" s="213"/>
      <c r="AK22" s="213"/>
      <c r="AL22" s="213"/>
      <c r="AM22" s="183"/>
      <c r="AN22" s="183"/>
      <c r="AO22" s="183"/>
    </row>
    <row r="23" spans="2:41" s="1" customFormat="1" ht="14.45" customHeight="1">
      <c r="B23" s="33"/>
      <c r="C23" s="34"/>
      <c r="D23" s="30" t="s">
        <v>32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81"/>
      <c r="P23" s="181"/>
      <c r="Q23" s="34"/>
      <c r="R23" s="35"/>
      <c r="AC23" s="183"/>
      <c r="AD23" s="213"/>
      <c r="AE23" s="213"/>
      <c r="AF23" s="213"/>
      <c r="AG23" s="213"/>
      <c r="AH23" s="213"/>
      <c r="AI23" s="213"/>
      <c r="AJ23" s="213"/>
      <c r="AK23" s="213"/>
      <c r="AL23" s="213"/>
      <c r="AM23" s="183"/>
      <c r="AN23" s="183"/>
      <c r="AO23" s="183"/>
    </row>
    <row r="24" spans="2:41" s="1" customFormat="1" ht="16.5" customHeight="1">
      <c r="B24" s="33"/>
      <c r="C24" s="34"/>
      <c r="D24" s="34"/>
      <c r="E24" s="250" t="s">
        <v>5</v>
      </c>
      <c r="F24" s="250"/>
      <c r="G24" s="250"/>
      <c r="H24" s="250"/>
      <c r="I24" s="250"/>
      <c r="J24" s="250"/>
      <c r="K24" s="250"/>
      <c r="L24" s="250"/>
      <c r="M24" s="34"/>
      <c r="N24" s="34"/>
      <c r="O24" s="34"/>
      <c r="P24" s="34"/>
      <c r="Q24" s="34"/>
      <c r="R24" s="35"/>
      <c r="AC24" s="183"/>
      <c r="AD24" s="212"/>
      <c r="AE24" s="212"/>
      <c r="AF24" s="212"/>
      <c r="AG24" s="212"/>
      <c r="AH24" s="212"/>
      <c r="AI24" s="212"/>
      <c r="AJ24" s="212"/>
      <c r="AK24" s="212"/>
      <c r="AL24" s="212"/>
      <c r="AM24" s="183"/>
      <c r="AN24" s="183"/>
      <c r="AO24" s="183"/>
    </row>
    <row r="25" spans="2:41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AC25" s="183"/>
      <c r="AD25" s="212"/>
      <c r="AE25" s="212"/>
      <c r="AF25" s="212"/>
      <c r="AG25" s="212"/>
      <c r="AH25" s="212"/>
      <c r="AI25" s="212"/>
      <c r="AJ25" s="212"/>
      <c r="AK25" s="212"/>
      <c r="AL25" s="212"/>
      <c r="AM25" s="183"/>
      <c r="AN25" s="183"/>
      <c r="AO25" s="183"/>
    </row>
    <row r="26" spans="2:41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  <c r="AC26" s="183"/>
      <c r="AD26" s="212"/>
      <c r="AE26" s="212"/>
      <c r="AF26" s="212"/>
      <c r="AG26" s="212"/>
      <c r="AH26" s="212"/>
      <c r="AI26" s="212"/>
      <c r="AJ26" s="212"/>
      <c r="AK26" s="212"/>
      <c r="AL26" s="212"/>
      <c r="AM26" s="183"/>
      <c r="AN26" s="183"/>
      <c r="AO26" s="183"/>
    </row>
    <row r="27" spans="2:41" s="1" customFormat="1" ht="14.45" customHeight="1">
      <c r="B27" s="33"/>
      <c r="C27" s="34"/>
      <c r="D27" s="101" t="s">
        <v>94</v>
      </c>
      <c r="E27" s="34"/>
      <c r="F27" s="34"/>
      <c r="G27" s="34"/>
      <c r="H27" s="34"/>
      <c r="I27" s="34"/>
      <c r="J27" s="34"/>
      <c r="K27" s="34"/>
      <c r="L27" s="34"/>
      <c r="M27" s="228">
        <f>N88</f>
        <v>0</v>
      </c>
      <c r="N27" s="228"/>
      <c r="O27" s="228"/>
      <c r="P27" s="228"/>
      <c r="Q27" s="34"/>
      <c r="R27" s="35"/>
      <c r="AC27" s="183"/>
      <c r="AD27" s="209"/>
      <c r="AE27" s="212"/>
      <c r="AF27" s="212"/>
      <c r="AG27" s="212"/>
      <c r="AH27" s="212"/>
      <c r="AI27" s="212"/>
      <c r="AJ27" s="212"/>
      <c r="AK27" s="212"/>
      <c r="AL27" s="212"/>
      <c r="AM27" s="183"/>
      <c r="AN27" s="183"/>
      <c r="AO27" s="183"/>
    </row>
    <row r="28" spans="2:41" s="1" customFormat="1" ht="14.45" customHeight="1">
      <c r="B28" s="33"/>
      <c r="C28" s="34"/>
      <c r="D28" s="32" t="s">
        <v>95</v>
      </c>
      <c r="E28" s="34"/>
      <c r="F28" s="34"/>
      <c r="G28" s="34"/>
      <c r="H28" s="34"/>
      <c r="I28" s="34"/>
      <c r="J28" s="34"/>
      <c r="K28" s="34"/>
      <c r="L28" s="34"/>
      <c r="M28" s="228">
        <f>N99</f>
        <v>0</v>
      </c>
      <c r="N28" s="228"/>
      <c r="O28" s="228"/>
      <c r="P28" s="228"/>
      <c r="Q28" s="34"/>
      <c r="R28" s="35"/>
      <c r="AC28" s="183"/>
      <c r="AD28" s="212"/>
      <c r="AE28" s="212"/>
      <c r="AF28" s="212"/>
      <c r="AG28" s="212"/>
      <c r="AH28" s="212"/>
      <c r="AI28" s="212"/>
      <c r="AJ28" s="212"/>
      <c r="AK28" s="212"/>
      <c r="AL28" s="212"/>
      <c r="AM28" s="183"/>
      <c r="AN28" s="183"/>
      <c r="AO28" s="183"/>
    </row>
    <row r="29" spans="2:41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AC29" s="183"/>
      <c r="AD29" s="212"/>
      <c r="AE29" s="212"/>
      <c r="AF29" s="212"/>
      <c r="AG29" s="212"/>
      <c r="AH29" s="212"/>
      <c r="AI29" s="212"/>
      <c r="AJ29" s="212"/>
      <c r="AK29" s="212"/>
      <c r="AL29" s="212"/>
      <c r="AM29" s="183"/>
      <c r="AN29" s="183"/>
      <c r="AO29" s="183"/>
    </row>
    <row r="30" spans="2:41" s="1" customFormat="1" ht="25.35" customHeight="1">
      <c r="B30" s="33"/>
      <c r="C30" s="34"/>
      <c r="D30" s="102" t="s">
        <v>35</v>
      </c>
      <c r="E30" s="34"/>
      <c r="F30" s="34"/>
      <c r="G30" s="34"/>
      <c r="H30" s="34"/>
      <c r="I30" s="34"/>
      <c r="J30" s="34"/>
      <c r="K30" s="34"/>
      <c r="L30" s="34"/>
      <c r="M30" s="286">
        <f>ROUND(M27+M28,2)</f>
        <v>0</v>
      </c>
      <c r="N30" s="271"/>
      <c r="O30" s="271"/>
      <c r="P30" s="271"/>
      <c r="Q30" s="34"/>
      <c r="R30" s="35"/>
      <c r="AC30" s="183"/>
      <c r="AD30" s="209">
        <f>M30</f>
        <v>0</v>
      </c>
      <c r="AE30" s="212"/>
      <c r="AF30" s="212"/>
      <c r="AG30" s="212"/>
      <c r="AH30" s="212"/>
      <c r="AI30" s="212"/>
      <c r="AJ30" s="212"/>
      <c r="AK30" s="212"/>
      <c r="AL30" s="212"/>
      <c r="AM30" s="183"/>
      <c r="AN30" s="183"/>
      <c r="AO30" s="183"/>
    </row>
    <row r="31" spans="2:41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  <c r="AC31" s="183"/>
      <c r="AD31" s="212"/>
      <c r="AE31" s="212"/>
      <c r="AF31" s="212"/>
      <c r="AG31" s="212"/>
      <c r="AH31" s="212"/>
      <c r="AI31" s="212"/>
      <c r="AJ31" s="212"/>
      <c r="AK31" s="212"/>
      <c r="AL31" s="212"/>
      <c r="AM31" s="183"/>
      <c r="AN31" s="183"/>
      <c r="AO31" s="183"/>
    </row>
    <row r="32" spans="2:41" s="1" customFormat="1" ht="14.45" customHeight="1">
      <c r="B32" s="33"/>
      <c r="C32" s="34"/>
      <c r="D32" s="40" t="s">
        <v>36</v>
      </c>
      <c r="E32" s="40" t="s">
        <v>37</v>
      </c>
      <c r="F32" s="41">
        <v>0.21</v>
      </c>
      <c r="G32" s="103" t="s">
        <v>38</v>
      </c>
      <c r="H32" s="287">
        <f>M27</f>
        <v>0</v>
      </c>
      <c r="I32" s="271"/>
      <c r="J32" s="271"/>
      <c r="K32" s="34"/>
      <c r="L32" s="34"/>
      <c r="M32" s="287">
        <f>H32*0.21</f>
        <v>0</v>
      </c>
      <c r="N32" s="271"/>
      <c r="O32" s="271"/>
      <c r="P32" s="271"/>
      <c r="Q32" s="34"/>
      <c r="R32" s="35"/>
      <c r="AC32" s="183"/>
      <c r="AD32" s="212"/>
      <c r="AE32" s="212"/>
      <c r="AF32" s="212"/>
      <c r="AG32" s="212"/>
      <c r="AH32" s="212"/>
      <c r="AI32" s="212"/>
      <c r="AJ32" s="212"/>
      <c r="AK32" s="212"/>
      <c r="AL32" s="212"/>
      <c r="AM32" s="183"/>
      <c r="AN32" s="183"/>
      <c r="AO32" s="183"/>
    </row>
    <row r="33" spans="2:41" s="1" customFormat="1" ht="14.45" customHeight="1">
      <c r="B33" s="33"/>
      <c r="C33" s="34"/>
      <c r="D33" s="34"/>
      <c r="E33" s="40" t="s">
        <v>39</v>
      </c>
      <c r="F33" s="41">
        <v>0.15</v>
      </c>
      <c r="G33" s="103" t="s">
        <v>38</v>
      </c>
      <c r="H33" s="287">
        <v>0</v>
      </c>
      <c r="I33" s="271"/>
      <c r="J33" s="271"/>
      <c r="K33" s="34"/>
      <c r="L33" s="34"/>
      <c r="M33" s="287">
        <v>0</v>
      </c>
      <c r="N33" s="271"/>
      <c r="O33" s="271"/>
      <c r="P33" s="271"/>
      <c r="Q33" s="34"/>
      <c r="R33" s="35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</row>
    <row r="34" spans="2:41" s="1" customFormat="1" ht="14.45" hidden="1" customHeight="1">
      <c r="B34" s="33"/>
      <c r="C34" s="34"/>
      <c r="D34" s="34"/>
      <c r="E34" s="40" t="s">
        <v>40</v>
      </c>
      <c r="F34" s="41">
        <v>0.21</v>
      </c>
      <c r="G34" s="103" t="s">
        <v>38</v>
      </c>
      <c r="H34" s="287">
        <f>ROUND((SUM(AE99:AE100)+SUM(AE118:AE291)), 2)</f>
        <v>0</v>
      </c>
      <c r="I34" s="271"/>
      <c r="J34" s="271"/>
      <c r="K34" s="34"/>
      <c r="L34" s="34"/>
      <c r="M34" s="287">
        <v>0</v>
      </c>
      <c r="N34" s="271"/>
      <c r="O34" s="271"/>
      <c r="P34" s="271"/>
      <c r="Q34" s="34"/>
      <c r="R34" s="35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</row>
    <row r="35" spans="2:41" s="1" customFormat="1" ht="14.45" hidden="1" customHeight="1">
      <c r="B35" s="33"/>
      <c r="C35" s="34"/>
      <c r="D35" s="34"/>
      <c r="E35" s="40" t="s">
        <v>41</v>
      </c>
      <c r="F35" s="41">
        <v>0.15</v>
      </c>
      <c r="G35" s="103" t="s">
        <v>38</v>
      </c>
      <c r="H35" s="287">
        <f>ROUND((SUM(AF99:AF100)+SUM(AF118:AF291)), 2)</f>
        <v>0</v>
      </c>
      <c r="I35" s="271"/>
      <c r="J35" s="271"/>
      <c r="K35" s="34"/>
      <c r="L35" s="34"/>
      <c r="M35" s="287">
        <v>0</v>
      </c>
      <c r="N35" s="271"/>
      <c r="O35" s="271"/>
      <c r="P35" s="271"/>
      <c r="Q35" s="34"/>
      <c r="R35" s="35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</row>
    <row r="36" spans="2:41" s="1" customFormat="1" ht="14.45" hidden="1" customHeight="1">
      <c r="B36" s="33"/>
      <c r="C36" s="34"/>
      <c r="D36" s="34"/>
      <c r="E36" s="40" t="s">
        <v>42</v>
      </c>
      <c r="F36" s="41">
        <v>0</v>
      </c>
      <c r="G36" s="103" t="s">
        <v>38</v>
      </c>
      <c r="H36" s="287">
        <f>ROUND((SUM(AG99:AG100)+SUM(AG118:AG291)), 2)</f>
        <v>0</v>
      </c>
      <c r="I36" s="271"/>
      <c r="J36" s="271"/>
      <c r="K36" s="34"/>
      <c r="L36" s="34"/>
      <c r="M36" s="287">
        <v>0</v>
      </c>
      <c r="N36" s="271"/>
      <c r="O36" s="271"/>
      <c r="P36" s="271"/>
      <c r="Q36" s="34"/>
      <c r="R36" s="35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</row>
    <row r="37" spans="2:41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</row>
    <row r="38" spans="2:41" s="1" customFormat="1" ht="25.35" customHeight="1">
      <c r="B38" s="33"/>
      <c r="C38" s="99"/>
      <c r="D38" s="104" t="s">
        <v>43</v>
      </c>
      <c r="E38" s="73"/>
      <c r="F38" s="73"/>
      <c r="G38" s="105" t="s">
        <v>44</v>
      </c>
      <c r="H38" s="106" t="s">
        <v>45</v>
      </c>
      <c r="I38" s="73"/>
      <c r="J38" s="73"/>
      <c r="K38" s="73"/>
      <c r="L38" s="288">
        <f>M30+M32</f>
        <v>0</v>
      </c>
      <c r="M38" s="288"/>
      <c r="N38" s="288"/>
      <c r="O38" s="288"/>
      <c r="P38" s="289"/>
      <c r="Q38" s="99"/>
      <c r="R38" s="35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</row>
    <row r="39" spans="2:41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</row>
    <row r="40" spans="2:41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2:41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</row>
    <row r="42" spans="2:41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</row>
    <row r="43" spans="2:41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</row>
    <row r="44" spans="2:41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</row>
    <row r="45" spans="2:41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</row>
    <row r="46" spans="2:41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</row>
    <row r="47" spans="2:41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</row>
    <row r="48" spans="2:41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46</v>
      </c>
      <c r="E50" s="49"/>
      <c r="F50" s="49"/>
      <c r="G50" s="49"/>
      <c r="H50" s="50"/>
      <c r="I50" s="34"/>
      <c r="J50" s="48" t="s">
        <v>47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48</v>
      </c>
      <c r="E59" s="54"/>
      <c r="F59" s="54"/>
      <c r="G59" s="55" t="s">
        <v>49</v>
      </c>
      <c r="H59" s="56"/>
      <c r="I59" s="34"/>
      <c r="J59" s="53" t="s">
        <v>48</v>
      </c>
      <c r="K59" s="54"/>
      <c r="L59" s="54"/>
      <c r="M59" s="54"/>
      <c r="N59" s="55" t="s">
        <v>49</v>
      </c>
      <c r="O59" s="54"/>
      <c r="P59" s="56"/>
      <c r="Q59" s="34"/>
      <c r="R59" s="35"/>
    </row>
    <row r="60" spans="2:18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50</v>
      </c>
      <c r="E61" s="49"/>
      <c r="F61" s="49"/>
      <c r="G61" s="49"/>
      <c r="H61" s="50"/>
      <c r="I61" s="34"/>
      <c r="J61" s="48" t="s">
        <v>51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48</v>
      </c>
      <c r="E70" s="54"/>
      <c r="F70" s="54"/>
      <c r="G70" s="55" t="s">
        <v>49</v>
      </c>
      <c r="H70" s="56"/>
      <c r="I70" s="34"/>
      <c r="J70" s="53" t="s">
        <v>48</v>
      </c>
      <c r="K70" s="54"/>
      <c r="L70" s="54"/>
      <c r="M70" s="54"/>
      <c r="N70" s="55" t="s">
        <v>49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241" t="s">
        <v>96</v>
      </c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14</v>
      </c>
      <c r="D78" s="34"/>
      <c r="E78" s="34"/>
      <c r="F78" s="272" t="str">
        <f>F6</f>
        <v>Oprava fasády objektů nemocnice Horní Beřkovice</v>
      </c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34"/>
      <c r="R78" s="35"/>
    </row>
    <row r="79" spans="2:18" s="1" customFormat="1" ht="36.950000000000003" customHeight="1">
      <c r="B79" s="33"/>
      <c r="C79" s="67" t="s">
        <v>93</v>
      </c>
      <c r="D79" s="34"/>
      <c r="E79" s="34"/>
      <c r="F79" s="234" t="str">
        <f>F7</f>
        <v>2018/010/c - Fasáda objektu H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18</v>
      </c>
      <c r="D81" s="34"/>
      <c r="E81" s="34"/>
      <c r="F81" s="28" t="str">
        <f>F9</f>
        <v>HORNÍ BEŘKOVICE, PODŘIPSKÁ 1</v>
      </c>
      <c r="G81" s="34"/>
      <c r="H81" s="34"/>
      <c r="I81" s="34"/>
      <c r="J81" s="34"/>
      <c r="K81" s="30" t="s">
        <v>20</v>
      </c>
      <c r="L81" s="34"/>
      <c r="M81" s="274" t="str">
        <f>IF(O9="","",O9)</f>
        <v>01/2020</v>
      </c>
      <c r="N81" s="274"/>
      <c r="O81" s="274"/>
      <c r="P81" s="274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21</v>
      </c>
      <c r="D83" s="34"/>
      <c r="E83" s="34"/>
      <c r="F83" s="28" t="str">
        <f>E12</f>
        <v>PSYCHIATRICKÁ NEMOCNICE HORNÍ BEŘKOVICE</v>
      </c>
      <c r="G83" s="34"/>
      <c r="H83" s="34"/>
      <c r="I83" s="34"/>
      <c r="J83" s="34"/>
      <c r="K83" s="30" t="s">
        <v>27</v>
      </c>
      <c r="L83" s="34"/>
      <c r="M83" s="247" t="str">
        <f>E18</f>
        <v>Starý a partner s.r.o.</v>
      </c>
      <c r="N83" s="247"/>
      <c r="O83" s="247"/>
      <c r="P83" s="247"/>
      <c r="Q83" s="247"/>
      <c r="R83" s="35"/>
    </row>
    <row r="84" spans="2:18" s="1" customFormat="1" ht="14.45" customHeight="1">
      <c r="B84" s="33"/>
      <c r="C84" s="30" t="s">
        <v>25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30</v>
      </c>
      <c r="L84" s="34"/>
      <c r="M84" s="247">
        <f>E21</f>
        <v>0</v>
      </c>
      <c r="N84" s="247"/>
      <c r="O84" s="247"/>
      <c r="P84" s="247"/>
      <c r="Q84" s="247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83" t="s">
        <v>97</v>
      </c>
      <c r="D86" s="284"/>
      <c r="E86" s="284"/>
      <c r="F86" s="284"/>
      <c r="G86" s="284"/>
      <c r="H86" s="99"/>
      <c r="I86" s="99"/>
      <c r="J86" s="99"/>
      <c r="K86" s="99"/>
      <c r="L86" s="99"/>
      <c r="M86" s="99"/>
      <c r="N86" s="283" t="s">
        <v>98</v>
      </c>
      <c r="O86" s="284"/>
      <c r="P86" s="284"/>
      <c r="Q86" s="284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18" s="1" customFormat="1" ht="29.25" customHeight="1">
      <c r="B88" s="33"/>
      <c r="C88" s="107" t="s">
        <v>99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23">
        <f>N118</f>
        <v>0</v>
      </c>
      <c r="O88" s="281"/>
      <c r="P88" s="281"/>
      <c r="Q88" s="281"/>
      <c r="R88" s="35"/>
    </row>
    <row r="89" spans="2:18" s="6" customFormat="1" ht="24.95" customHeight="1">
      <c r="B89" s="108"/>
      <c r="C89" s="109"/>
      <c r="D89" s="110" t="s">
        <v>100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79">
        <f>N119</f>
        <v>0</v>
      </c>
      <c r="O89" s="280"/>
      <c r="P89" s="280"/>
      <c r="Q89" s="280"/>
      <c r="R89" s="111"/>
    </row>
    <row r="90" spans="2:18" s="7" customFormat="1" ht="19.899999999999999" customHeight="1">
      <c r="B90" s="112"/>
      <c r="C90" s="113"/>
      <c r="D90" s="114" t="s">
        <v>101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77">
        <f>N120</f>
        <v>0</v>
      </c>
      <c r="O90" s="278"/>
      <c r="P90" s="278"/>
      <c r="Q90" s="278"/>
      <c r="R90" s="115"/>
    </row>
    <row r="91" spans="2:18" s="7" customFormat="1" ht="19.899999999999999" customHeight="1">
      <c r="B91" s="112"/>
      <c r="C91" s="113"/>
      <c r="D91" s="114" t="s">
        <v>102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77">
        <f>N187</f>
        <v>0</v>
      </c>
      <c r="O91" s="278"/>
      <c r="P91" s="278"/>
      <c r="Q91" s="278"/>
      <c r="R91" s="115"/>
    </row>
    <row r="92" spans="2:18" s="7" customFormat="1" ht="19.899999999999999" customHeight="1">
      <c r="B92" s="112"/>
      <c r="C92" s="113"/>
      <c r="D92" s="114" t="s">
        <v>103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77">
        <f>N219</f>
        <v>0</v>
      </c>
      <c r="O92" s="278"/>
      <c r="P92" s="278"/>
      <c r="Q92" s="278"/>
      <c r="R92" s="115"/>
    </row>
    <row r="93" spans="2:18" s="7" customFormat="1" ht="19.899999999999999" customHeight="1">
      <c r="B93" s="112"/>
      <c r="C93" s="113"/>
      <c r="D93" s="114" t="s">
        <v>104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77">
        <f>N225</f>
        <v>0</v>
      </c>
      <c r="O93" s="278"/>
      <c r="P93" s="278"/>
      <c r="Q93" s="278"/>
      <c r="R93" s="115"/>
    </row>
    <row r="94" spans="2:18" s="6" customFormat="1" ht="24.95" customHeight="1">
      <c r="B94" s="108"/>
      <c r="C94" s="109"/>
      <c r="D94" s="110" t="s">
        <v>105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79">
        <f>N227</f>
        <v>0</v>
      </c>
      <c r="O94" s="280"/>
      <c r="P94" s="280"/>
      <c r="Q94" s="280"/>
      <c r="R94" s="111"/>
    </row>
    <row r="95" spans="2:18" s="7" customFormat="1" ht="19.899999999999999" customHeight="1">
      <c r="B95" s="112"/>
      <c r="C95" s="113"/>
      <c r="D95" s="114" t="s">
        <v>106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77">
        <f>N228</f>
        <v>0</v>
      </c>
      <c r="O95" s="278"/>
      <c r="P95" s="278"/>
      <c r="Q95" s="278"/>
      <c r="R95" s="115"/>
    </row>
    <row r="96" spans="2:18" s="7" customFormat="1" ht="19.899999999999999" customHeight="1">
      <c r="B96" s="112"/>
      <c r="C96" s="113"/>
      <c r="D96" s="114" t="s">
        <v>107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77">
        <f>N261</f>
        <v>0</v>
      </c>
      <c r="O96" s="278"/>
      <c r="P96" s="278"/>
      <c r="Q96" s="278"/>
      <c r="R96" s="115"/>
    </row>
    <row r="97" spans="2:21" s="7" customFormat="1" ht="19.899999999999999" customHeight="1">
      <c r="B97" s="112"/>
      <c r="C97" s="113"/>
      <c r="D97" s="114" t="s">
        <v>108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77">
        <f>N264</f>
        <v>0</v>
      </c>
      <c r="O97" s="278"/>
      <c r="P97" s="278"/>
      <c r="Q97" s="278"/>
      <c r="R97" s="115"/>
    </row>
    <row r="98" spans="2:21" s="1" customFormat="1" ht="21.75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</row>
    <row r="99" spans="2:21" s="1" customFormat="1" ht="29.25" customHeight="1">
      <c r="B99" s="33"/>
      <c r="C99" s="107" t="s">
        <v>109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281">
        <v>0</v>
      </c>
      <c r="O99" s="282"/>
      <c r="P99" s="282"/>
      <c r="Q99" s="282"/>
      <c r="R99" s="35"/>
      <c r="T99" s="116"/>
      <c r="U99" s="117" t="s">
        <v>36</v>
      </c>
    </row>
    <row r="100" spans="2:21" s="1" customFormat="1" ht="18" customHeight="1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spans="2:21" s="1" customFormat="1" ht="29.25" customHeight="1">
      <c r="B101" s="33"/>
      <c r="C101" s="98" t="s">
        <v>85</v>
      </c>
      <c r="D101" s="99"/>
      <c r="E101" s="99"/>
      <c r="F101" s="99"/>
      <c r="G101" s="99"/>
      <c r="H101" s="99"/>
      <c r="I101" s="99"/>
      <c r="J101" s="99"/>
      <c r="K101" s="99"/>
      <c r="L101" s="227">
        <f>ROUND(SUM(N88+N99),2)</f>
        <v>0</v>
      </c>
      <c r="M101" s="227"/>
      <c r="N101" s="227"/>
      <c r="O101" s="227"/>
      <c r="P101" s="227"/>
      <c r="Q101" s="227"/>
      <c r="R101" s="35"/>
    </row>
    <row r="102" spans="2:21" s="1" customFormat="1" ht="6.9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6" spans="2:21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07" spans="2:21" s="1" customFormat="1" ht="36.950000000000003" customHeight="1">
      <c r="B107" s="33"/>
      <c r="C107" s="241" t="s">
        <v>110</v>
      </c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35"/>
    </row>
    <row r="108" spans="2:21" s="1" customFormat="1" ht="6.9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21" s="1" customFormat="1" ht="30" customHeight="1">
      <c r="B109" s="33"/>
      <c r="C109" s="30" t="s">
        <v>14</v>
      </c>
      <c r="D109" s="34"/>
      <c r="E109" s="34"/>
      <c r="F109" s="272" t="str">
        <f>F6</f>
        <v>Oprava fasády objektů nemocnice Horní Beřkovice</v>
      </c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34"/>
      <c r="R109" s="35"/>
    </row>
    <row r="110" spans="2:21" s="1" customFormat="1" ht="36.950000000000003" customHeight="1">
      <c r="B110" s="33"/>
      <c r="C110" s="67" t="s">
        <v>93</v>
      </c>
      <c r="D110" s="34"/>
      <c r="E110" s="34"/>
      <c r="F110" s="234" t="str">
        <f>F7</f>
        <v>2018/010/c - Fasáda objektu H</v>
      </c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34"/>
      <c r="R110" s="35"/>
    </row>
    <row r="111" spans="2:21" s="1" customFormat="1" ht="6.9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21" s="1" customFormat="1" ht="18" customHeight="1">
      <c r="B112" s="33"/>
      <c r="C112" s="30" t="s">
        <v>18</v>
      </c>
      <c r="D112" s="34"/>
      <c r="E112" s="34"/>
      <c r="F112" s="28" t="str">
        <f>F9</f>
        <v>HORNÍ BEŘKOVICE, PODŘIPSKÁ 1</v>
      </c>
      <c r="G112" s="34"/>
      <c r="H112" s="34"/>
      <c r="I112" s="34"/>
      <c r="J112" s="34"/>
      <c r="K112" s="30" t="s">
        <v>20</v>
      </c>
      <c r="L112" s="34"/>
      <c r="M112" s="274" t="str">
        <f>IF(O9="","",O9)</f>
        <v>01/2020</v>
      </c>
      <c r="N112" s="274"/>
      <c r="O112" s="274"/>
      <c r="P112" s="274"/>
      <c r="Q112" s="34"/>
      <c r="R112" s="35"/>
    </row>
    <row r="113" spans="2:37" s="1" customFormat="1" ht="6.9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37" s="1" customFormat="1" ht="15">
      <c r="B114" s="33"/>
      <c r="C114" s="30" t="s">
        <v>21</v>
      </c>
      <c r="D114" s="34"/>
      <c r="E114" s="34"/>
      <c r="F114" s="28" t="str">
        <f>E12</f>
        <v>PSYCHIATRICKÁ NEMOCNICE HORNÍ BEŘKOVICE</v>
      </c>
      <c r="G114" s="34"/>
      <c r="H114" s="34"/>
      <c r="I114" s="34"/>
      <c r="J114" s="34"/>
      <c r="K114" s="30" t="s">
        <v>27</v>
      </c>
      <c r="L114" s="34"/>
      <c r="M114" s="247" t="str">
        <f>E18</f>
        <v>Starý a partner s.r.o.</v>
      </c>
      <c r="N114" s="247"/>
      <c r="O114" s="247"/>
      <c r="P114" s="247"/>
      <c r="Q114" s="247"/>
      <c r="R114" s="35"/>
    </row>
    <row r="115" spans="2:37" s="1" customFormat="1" ht="14.45" customHeight="1">
      <c r="B115" s="33"/>
      <c r="C115" s="30" t="s">
        <v>25</v>
      </c>
      <c r="D115" s="34"/>
      <c r="E115" s="34"/>
      <c r="F115" s="28" t="str">
        <f>IF(E15="","",E15)</f>
        <v xml:space="preserve"> </v>
      </c>
      <c r="G115" s="34"/>
      <c r="H115" s="34"/>
      <c r="I115" s="34"/>
      <c r="J115" s="34"/>
      <c r="K115" s="30" t="s">
        <v>30</v>
      </c>
      <c r="L115" s="34"/>
      <c r="M115" s="247">
        <f>E21</f>
        <v>0</v>
      </c>
      <c r="N115" s="247"/>
      <c r="O115" s="247"/>
      <c r="P115" s="247"/>
      <c r="Q115" s="247"/>
      <c r="R115" s="35"/>
    </row>
    <row r="116" spans="2:37" s="1" customFormat="1" ht="10.3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37" s="8" customFormat="1" ht="29.25" customHeight="1">
      <c r="B117" s="118"/>
      <c r="C117" s="119" t="s">
        <v>111</v>
      </c>
      <c r="D117" s="120" t="s">
        <v>112</v>
      </c>
      <c r="E117" s="120" t="s">
        <v>54</v>
      </c>
      <c r="F117" s="275" t="s">
        <v>113</v>
      </c>
      <c r="G117" s="275"/>
      <c r="H117" s="275"/>
      <c r="I117" s="275"/>
      <c r="J117" s="120" t="s">
        <v>114</v>
      </c>
      <c r="K117" s="120" t="s">
        <v>115</v>
      </c>
      <c r="L117" s="275" t="s">
        <v>116</v>
      </c>
      <c r="M117" s="275"/>
      <c r="N117" s="275" t="s">
        <v>98</v>
      </c>
      <c r="O117" s="275"/>
      <c r="P117" s="275"/>
      <c r="Q117" s="276"/>
      <c r="R117" s="121"/>
      <c r="T117" s="74" t="s">
        <v>117</v>
      </c>
      <c r="U117" s="75" t="s">
        <v>36</v>
      </c>
      <c r="V117" s="75" t="s">
        <v>118</v>
      </c>
      <c r="W117" s="75" t="s">
        <v>119</v>
      </c>
      <c r="X117" s="75" t="s">
        <v>120</v>
      </c>
      <c r="Y117" s="75" t="s">
        <v>121</v>
      </c>
      <c r="Z117" s="75" t="s">
        <v>122</v>
      </c>
      <c r="AA117" s="76" t="s">
        <v>123</v>
      </c>
    </row>
    <row r="118" spans="2:37" s="1" customFormat="1" ht="29.25" customHeight="1">
      <c r="B118" s="33"/>
      <c r="C118" s="78" t="s">
        <v>94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67">
        <f>N119+N227</f>
        <v>0</v>
      </c>
      <c r="O118" s="268"/>
      <c r="P118" s="268"/>
      <c r="Q118" s="268"/>
      <c r="R118" s="35"/>
      <c r="T118" s="77"/>
      <c r="U118" s="49"/>
      <c r="V118" s="49"/>
      <c r="W118" s="122">
        <f>W119+W227</f>
        <v>3772.8954920000006</v>
      </c>
      <c r="X118" s="49"/>
      <c r="Y118" s="122">
        <f>Y119+Y227</f>
        <v>75.489458860000013</v>
      </c>
      <c r="Z118" s="49"/>
      <c r="AA118" s="123">
        <f>AA119+AA227</f>
        <v>104.75213059999999</v>
      </c>
      <c r="AI118" s="124">
        <f>AI119+AI227</f>
        <v>0</v>
      </c>
    </row>
    <row r="119" spans="2:37" s="9" customFormat="1" ht="37.35" customHeight="1">
      <c r="B119" s="125"/>
      <c r="C119" s="126"/>
      <c r="D119" s="127" t="s">
        <v>100</v>
      </c>
      <c r="E119" s="127"/>
      <c r="F119" s="127"/>
      <c r="G119" s="127"/>
      <c r="H119" s="127"/>
      <c r="I119" s="127"/>
      <c r="J119" s="127"/>
      <c r="K119" s="127"/>
      <c r="L119" s="127"/>
      <c r="M119" s="127"/>
      <c r="N119" s="299">
        <f>N120+N187+N219+N225</f>
        <v>0</v>
      </c>
      <c r="O119" s="279"/>
      <c r="P119" s="279"/>
      <c r="Q119" s="279"/>
      <c r="R119" s="128"/>
      <c r="T119" s="129"/>
      <c r="U119" s="126"/>
      <c r="V119" s="126"/>
      <c r="W119" s="130">
        <f>W120+W187+W219+W225</f>
        <v>3080.9741540000005</v>
      </c>
      <c r="X119" s="126"/>
      <c r="Y119" s="130">
        <f>Y120+Y187+Y219+Y225</f>
        <v>73.029204920000012</v>
      </c>
      <c r="Z119" s="126"/>
      <c r="AA119" s="131">
        <f>AA120+AA187+AA219+AA225</f>
        <v>104.25483199999999</v>
      </c>
      <c r="AI119" s="133">
        <f>AI120+AI187+AI219+AI225</f>
        <v>0</v>
      </c>
    </row>
    <row r="120" spans="2:37" s="9" customFormat="1" ht="19.899999999999999" customHeight="1">
      <c r="B120" s="125"/>
      <c r="C120" s="126"/>
      <c r="D120" s="134" t="s">
        <v>101</v>
      </c>
      <c r="E120" s="134"/>
      <c r="F120" s="134"/>
      <c r="G120" s="134"/>
      <c r="H120" s="134"/>
      <c r="I120" s="134"/>
      <c r="J120" s="134"/>
      <c r="K120" s="134"/>
      <c r="L120" s="134"/>
      <c r="M120" s="134"/>
      <c r="N120" s="263">
        <f>N121+N134+N147+N151+N162+N165+N176</f>
        <v>0</v>
      </c>
      <c r="O120" s="264"/>
      <c r="P120" s="264"/>
      <c r="Q120" s="264"/>
      <c r="R120" s="128"/>
      <c r="T120" s="129"/>
      <c r="U120" s="126"/>
      <c r="V120" s="126"/>
      <c r="W120" s="130">
        <f>SUM(W121:W186)</f>
        <v>1754.000072</v>
      </c>
      <c r="X120" s="126"/>
      <c r="Y120" s="130">
        <f>SUM(Y121:Y186)</f>
        <v>73.029204920000012</v>
      </c>
      <c r="Z120" s="126"/>
      <c r="AA120" s="131">
        <f>SUM(AA121:AA186)</f>
        <v>0</v>
      </c>
      <c r="AI120" s="133">
        <f>SUM(AI121:AI186)</f>
        <v>0</v>
      </c>
    </row>
    <row r="121" spans="2:37" s="1" customFormat="1" ht="25.5" customHeight="1">
      <c r="B121" s="135"/>
      <c r="C121" s="136" t="s">
        <v>192</v>
      </c>
      <c r="D121" s="136" t="s">
        <v>125</v>
      </c>
      <c r="E121" s="137" t="s">
        <v>129</v>
      </c>
      <c r="F121" s="258" t="s">
        <v>130</v>
      </c>
      <c r="G121" s="258"/>
      <c r="H121" s="258"/>
      <c r="I121" s="258"/>
      <c r="J121" s="138" t="s">
        <v>126</v>
      </c>
      <c r="K121" s="139">
        <f>K133</f>
        <v>1604.9639999999999</v>
      </c>
      <c r="L121" s="251">
        <v>0</v>
      </c>
      <c r="M121" s="251"/>
      <c r="N121" s="251">
        <f>ROUND(L121*K121,2)</f>
        <v>0</v>
      </c>
      <c r="O121" s="251"/>
      <c r="P121" s="251"/>
      <c r="Q121" s="251"/>
      <c r="R121" s="140"/>
      <c r="T121" s="141" t="s">
        <v>5</v>
      </c>
      <c r="U121" s="42" t="s">
        <v>37</v>
      </c>
      <c r="V121" s="142">
        <v>0.376</v>
      </c>
      <c r="W121" s="142">
        <f>V121*K121</f>
        <v>603.46646399999997</v>
      </c>
      <c r="X121" s="142">
        <v>7.0400000000000003E-3</v>
      </c>
      <c r="Y121" s="142">
        <f>X121*K121</f>
        <v>11.298946559999999</v>
      </c>
      <c r="Z121" s="142">
        <v>0</v>
      </c>
      <c r="AA121" s="143">
        <f>Z121*K121</f>
        <v>0</v>
      </c>
      <c r="AE121" s="144">
        <f>IF(U121="zákl. přenesená",N121,0)</f>
        <v>0</v>
      </c>
      <c r="AF121" s="144">
        <f>IF(U121="sníž. přenesená",N121,0)</f>
        <v>0</v>
      </c>
      <c r="AG121" s="144">
        <f>IF(U121="nulová",N121,0)</f>
        <v>0</v>
      </c>
      <c r="AH121" s="20" t="s">
        <v>73</v>
      </c>
      <c r="AI121" s="144">
        <f>ROUND(L121*K121,2)</f>
        <v>0</v>
      </c>
      <c r="AJ121" s="20" t="s">
        <v>127</v>
      </c>
      <c r="AK121" s="20" t="s">
        <v>384</v>
      </c>
    </row>
    <row r="122" spans="2:37" s="10" customFormat="1" ht="25.5" customHeight="1">
      <c r="B122" s="145"/>
      <c r="C122" s="146"/>
      <c r="D122" s="146"/>
      <c r="E122" s="147" t="s">
        <v>5</v>
      </c>
      <c r="F122" s="261" t="s">
        <v>131</v>
      </c>
      <c r="G122" s="262"/>
      <c r="H122" s="262"/>
      <c r="I122" s="262"/>
      <c r="J122" s="146"/>
      <c r="K122" s="147" t="s">
        <v>5</v>
      </c>
      <c r="L122" s="146"/>
      <c r="M122" s="146"/>
      <c r="N122" s="146"/>
      <c r="O122" s="146"/>
      <c r="P122" s="146"/>
      <c r="Q122" s="146"/>
      <c r="R122" s="148"/>
      <c r="T122" s="149"/>
      <c r="U122" s="146"/>
      <c r="V122" s="146"/>
      <c r="W122" s="146"/>
      <c r="X122" s="146"/>
      <c r="Y122" s="146"/>
      <c r="Z122" s="146"/>
      <c r="AA122" s="150"/>
    </row>
    <row r="123" spans="2:37" s="10" customFormat="1" ht="16.5" customHeight="1">
      <c r="B123" s="145"/>
      <c r="C123" s="146"/>
      <c r="D123" s="146"/>
      <c r="E123" s="147" t="s">
        <v>5</v>
      </c>
      <c r="F123" s="259" t="s">
        <v>334</v>
      </c>
      <c r="G123" s="260"/>
      <c r="H123" s="260"/>
      <c r="I123" s="260"/>
      <c r="J123" s="146"/>
      <c r="K123" s="147" t="s">
        <v>5</v>
      </c>
      <c r="L123" s="146"/>
      <c r="M123" s="146"/>
      <c r="N123" s="146"/>
      <c r="O123" s="146"/>
      <c r="P123" s="146"/>
      <c r="Q123" s="146"/>
      <c r="R123" s="148"/>
      <c r="T123" s="149"/>
      <c r="U123" s="146"/>
      <c r="V123" s="146"/>
      <c r="W123" s="146"/>
      <c r="X123" s="146"/>
      <c r="Y123" s="146"/>
      <c r="Z123" s="146"/>
      <c r="AA123" s="150"/>
    </row>
    <row r="124" spans="2:37" s="11" customFormat="1" ht="25.5" customHeight="1">
      <c r="B124" s="152"/>
      <c r="C124" s="153"/>
      <c r="D124" s="153"/>
      <c r="E124" s="154" t="s">
        <v>5</v>
      </c>
      <c r="F124" s="252" t="s">
        <v>442</v>
      </c>
      <c r="G124" s="253"/>
      <c r="H124" s="253"/>
      <c r="I124" s="253"/>
      <c r="J124" s="153"/>
      <c r="K124" s="155">
        <f>33.51*11.2+3.65*11.2*2-8*0.8*0.4-16*1.25*2.49-1.5*2.65-1.9*3.2-1.9*1</f>
        <v>392.75699999999995</v>
      </c>
      <c r="L124" s="153"/>
      <c r="M124" s="153"/>
      <c r="N124" s="153"/>
      <c r="O124" s="153"/>
      <c r="P124" s="153"/>
      <c r="Q124" s="153"/>
      <c r="R124" s="156"/>
      <c r="T124" s="157"/>
      <c r="U124" s="153"/>
      <c r="V124" s="153"/>
      <c r="W124" s="153"/>
      <c r="X124" s="153"/>
      <c r="Y124" s="153"/>
      <c r="Z124" s="153"/>
      <c r="AA124" s="158"/>
    </row>
    <row r="125" spans="2:37" s="10" customFormat="1" ht="16.5" customHeight="1">
      <c r="B125" s="145"/>
      <c r="C125" s="146"/>
      <c r="D125" s="146"/>
      <c r="E125" s="147" t="s">
        <v>5</v>
      </c>
      <c r="F125" s="259" t="s">
        <v>335</v>
      </c>
      <c r="G125" s="260"/>
      <c r="H125" s="260"/>
      <c r="I125" s="260"/>
      <c r="J125" s="146"/>
      <c r="K125" s="147" t="s">
        <v>5</v>
      </c>
      <c r="L125" s="146"/>
      <c r="M125" s="146"/>
      <c r="N125" s="146"/>
      <c r="O125" s="146"/>
      <c r="P125" s="146"/>
      <c r="Q125" s="146"/>
      <c r="R125" s="148"/>
      <c r="T125" s="149"/>
      <c r="U125" s="146"/>
      <c r="V125" s="146"/>
      <c r="W125" s="146"/>
      <c r="X125" s="146"/>
      <c r="Y125" s="146"/>
      <c r="Z125" s="146"/>
      <c r="AA125" s="150"/>
    </row>
    <row r="126" spans="2:37" s="11" customFormat="1" ht="16.5" customHeight="1">
      <c r="B126" s="152"/>
      <c r="C126" s="153"/>
      <c r="D126" s="153"/>
      <c r="E126" s="154" t="s">
        <v>5</v>
      </c>
      <c r="F126" s="252" t="s">
        <v>443</v>
      </c>
      <c r="G126" s="253"/>
      <c r="H126" s="253"/>
      <c r="I126" s="253"/>
      <c r="J126" s="153"/>
      <c r="K126" s="155">
        <f>17.85*11.2-3*0.8*0.4-2*1.25*2.49</f>
        <v>192.73500000000001</v>
      </c>
      <c r="L126" s="153"/>
      <c r="M126" s="153"/>
      <c r="N126" s="153"/>
      <c r="O126" s="153"/>
      <c r="P126" s="153"/>
      <c r="Q126" s="153"/>
      <c r="R126" s="156"/>
      <c r="T126" s="157"/>
      <c r="U126" s="153"/>
      <c r="V126" s="153"/>
      <c r="W126" s="153"/>
      <c r="X126" s="153"/>
      <c r="Y126" s="153"/>
      <c r="Z126" s="153"/>
      <c r="AA126" s="158"/>
    </row>
    <row r="127" spans="2:37" s="10" customFormat="1" ht="16.5" customHeight="1">
      <c r="B127" s="145"/>
      <c r="C127" s="146"/>
      <c r="D127" s="146"/>
      <c r="E127" s="147" t="s">
        <v>5</v>
      </c>
      <c r="F127" s="259" t="s">
        <v>333</v>
      </c>
      <c r="G127" s="260"/>
      <c r="H127" s="260"/>
      <c r="I127" s="260"/>
      <c r="J127" s="146"/>
      <c r="K127" s="147" t="s">
        <v>5</v>
      </c>
      <c r="L127" s="146"/>
      <c r="M127" s="146"/>
      <c r="N127" s="146"/>
      <c r="O127" s="146"/>
      <c r="P127" s="146"/>
      <c r="Q127" s="146"/>
      <c r="R127" s="148"/>
      <c r="T127" s="149"/>
      <c r="U127" s="146"/>
      <c r="V127" s="146"/>
      <c r="W127" s="146"/>
      <c r="X127" s="146"/>
      <c r="Y127" s="146"/>
      <c r="Z127" s="146"/>
      <c r="AA127" s="150"/>
    </row>
    <row r="128" spans="2:37" s="11" customFormat="1" ht="25.5" customHeight="1">
      <c r="B128" s="152"/>
      <c r="C128" s="153"/>
      <c r="D128" s="153"/>
      <c r="E128" s="154" t="s">
        <v>5</v>
      </c>
      <c r="F128" s="252" t="s">
        <v>444</v>
      </c>
      <c r="G128" s="253"/>
      <c r="H128" s="253"/>
      <c r="I128" s="253"/>
      <c r="J128" s="153"/>
      <c r="K128" s="155">
        <f>33.31*11.2+2.2*11.2+9.68*11.2-3*0.8*0.4-15*1.25*2.49-8*1.05*2.49-1.34*2.4</f>
        <v>434.3485</v>
      </c>
      <c r="L128" s="153"/>
      <c r="M128" s="153"/>
      <c r="N128" s="153"/>
      <c r="O128" s="153"/>
      <c r="P128" s="153"/>
      <c r="Q128" s="153"/>
      <c r="R128" s="156"/>
      <c r="T128" s="157"/>
      <c r="U128" s="153"/>
      <c r="V128" s="153"/>
      <c r="W128" s="153"/>
      <c r="X128" s="153"/>
      <c r="Y128" s="153"/>
      <c r="Z128" s="153"/>
      <c r="AA128" s="158"/>
    </row>
    <row r="129" spans="2:37" s="10" customFormat="1" ht="16.5" customHeight="1">
      <c r="B129" s="145"/>
      <c r="C129" s="146"/>
      <c r="D129" s="146"/>
      <c r="E129" s="147" t="s">
        <v>5</v>
      </c>
      <c r="F129" s="259" t="s">
        <v>332</v>
      </c>
      <c r="G129" s="260"/>
      <c r="H129" s="260"/>
      <c r="I129" s="260"/>
      <c r="J129" s="146"/>
      <c r="K129" s="147" t="s">
        <v>5</v>
      </c>
      <c r="L129" s="146"/>
      <c r="M129" s="146"/>
      <c r="N129" s="146"/>
      <c r="O129" s="146"/>
      <c r="P129" s="146"/>
      <c r="Q129" s="146"/>
      <c r="R129" s="148"/>
      <c r="T129" s="149"/>
      <c r="U129" s="146"/>
      <c r="V129" s="146"/>
      <c r="W129" s="146"/>
      <c r="X129" s="146"/>
      <c r="Y129" s="146"/>
      <c r="Z129" s="146"/>
      <c r="AA129" s="150"/>
    </row>
    <row r="130" spans="2:37" s="11" customFormat="1" ht="25.5" customHeight="1">
      <c r="B130" s="152"/>
      <c r="C130" s="153"/>
      <c r="D130" s="153"/>
      <c r="E130" s="154" t="s">
        <v>5</v>
      </c>
      <c r="F130" s="252" t="s">
        <v>445</v>
      </c>
      <c r="G130" s="253"/>
      <c r="H130" s="253"/>
      <c r="I130" s="253"/>
      <c r="J130" s="153"/>
      <c r="K130" s="155">
        <f>33.31*11.2+2.2*11.2+9.68*11.2-4*0.8*0.4-13*1.25*2.49-12*1.05*2.49-1.44*3.4</f>
        <v>428.11549999999994</v>
      </c>
      <c r="L130" s="153"/>
      <c r="M130" s="153"/>
      <c r="N130" s="153"/>
      <c r="O130" s="153"/>
      <c r="P130" s="153"/>
      <c r="Q130" s="153"/>
      <c r="R130" s="156"/>
      <c r="T130" s="157"/>
      <c r="U130" s="153"/>
      <c r="V130" s="153"/>
      <c r="W130" s="153"/>
      <c r="X130" s="153"/>
      <c r="Y130" s="153"/>
      <c r="Z130" s="153"/>
      <c r="AA130" s="158"/>
    </row>
    <row r="131" spans="2:37" s="10" customFormat="1" ht="16.5" customHeight="1">
      <c r="B131" s="145"/>
      <c r="C131" s="146"/>
      <c r="D131" s="146"/>
      <c r="E131" s="147" t="s">
        <v>5</v>
      </c>
      <c r="F131" s="259" t="s">
        <v>154</v>
      </c>
      <c r="G131" s="260"/>
      <c r="H131" s="260"/>
      <c r="I131" s="260"/>
      <c r="J131" s="146"/>
      <c r="K131" s="147" t="s">
        <v>5</v>
      </c>
      <c r="L131" s="146"/>
      <c r="M131" s="146"/>
      <c r="N131" s="146"/>
      <c r="O131" s="146"/>
      <c r="P131" s="146"/>
      <c r="Q131" s="146"/>
      <c r="R131" s="148"/>
      <c r="T131" s="149"/>
      <c r="U131" s="146"/>
      <c r="V131" s="146"/>
      <c r="W131" s="146"/>
      <c r="X131" s="146"/>
      <c r="Y131" s="146"/>
      <c r="Z131" s="146"/>
      <c r="AA131" s="150"/>
    </row>
    <row r="132" spans="2:37" s="11" customFormat="1" ht="16.5" customHeight="1">
      <c r="B132" s="152"/>
      <c r="C132" s="153"/>
      <c r="D132" s="153"/>
      <c r="E132" s="154" t="s">
        <v>5</v>
      </c>
      <c r="F132" s="252" t="s">
        <v>446</v>
      </c>
      <c r="G132" s="253"/>
      <c r="H132" s="253"/>
      <c r="I132" s="253"/>
      <c r="J132" s="153"/>
      <c r="K132" s="155">
        <f>523.36*0.3</f>
        <v>157.00800000000001</v>
      </c>
      <c r="L132" s="153"/>
      <c r="M132" s="153"/>
      <c r="N132" s="153"/>
      <c r="O132" s="153"/>
      <c r="P132" s="153"/>
      <c r="Q132" s="153"/>
      <c r="R132" s="156"/>
      <c r="T132" s="157"/>
      <c r="U132" s="153"/>
      <c r="V132" s="153"/>
      <c r="W132" s="153"/>
      <c r="X132" s="153"/>
      <c r="Y132" s="153"/>
      <c r="Z132" s="153"/>
      <c r="AA132" s="158"/>
    </row>
    <row r="133" spans="2:37" s="12" customFormat="1" ht="16.5" customHeight="1">
      <c r="B133" s="160"/>
      <c r="C133" s="161"/>
      <c r="D133" s="161"/>
      <c r="E133" s="162" t="s">
        <v>5</v>
      </c>
      <c r="F133" s="256" t="s">
        <v>128</v>
      </c>
      <c r="G133" s="257"/>
      <c r="H133" s="257"/>
      <c r="I133" s="257"/>
      <c r="J133" s="161"/>
      <c r="K133" s="163">
        <f>K124+K126+K128+K130+K132</f>
        <v>1604.9639999999999</v>
      </c>
      <c r="L133" s="161"/>
      <c r="M133" s="161"/>
      <c r="N133" s="161"/>
      <c r="O133" s="161"/>
      <c r="P133" s="161"/>
      <c r="Q133" s="161"/>
      <c r="R133" s="164"/>
      <c r="T133" s="165"/>
      <c r="U133" s="161"/>
      <c r="V133" s="161"/>
      <c r="W133" s="161"/>
      <c r="X133" s="161"/>
      <c r="Y133" s="161"/>
      <c r="Z133" s="161"/>
      <c r="AA133" s="166"/>
    </row>
    <row r="134" spans="2:37" s="1" customFormat="1" ht="25.5" customHeight="1">
      <c r="B134" s="135"/>
      <c r="C134" s="136" t="s">
        <v>73</v>
      </c>
      <c r="D134" s="136" t="s">
        <v>125</v>
      </c>
      <c r="E134" s="137" t="s">
        <v>133</v>
      </c>
      <c r="F134" s="258" t="s">
        <v>134</v>
      </c>
      <c r="G134" s="258"/>
      <c r="H134" s="258"/>
      <c r="I134" s="258"/>
      <c r="J134" s="138" t="s">
        <v>126</v>
      </c>
      <c r="K134" s="139">
        <f>K146</f>
        <v>1604.9639999999999</v>
      </c>
      <c r="L134" s="251">
        <v>0</v>
      </c>
      <c r="M134" s="251"/>
      <c r="N134" s="251">
        <f>ROUND(L134*K134,2)</f>
        <v>0</v>
      </c>
      <c r="O134" s="251"/>
      <c r="P134" s="251"/>
      <c r="Q134" s="251"/>
      <c r="R134" s="140"/>
      <c r="T134" s="141" t="s">
        <v>5</v>
      </c>
      <c r="U134" s="42" t="s">
        <v>37</v>
      </c>
      <c r="V134" s="142">
        <v>8.6999999999999994E-2</v>
      </c>
      <c r="W134" s="142">
        <f>V134*K134</f>
        <v>139.631868</v>
      </c>
      <c r="X134" s="142">
        <v>7.3499999999999998E-3</v>
      </c>
      <c r="Y134" s="142">
        <f>X134*K134</f>
        <v>11.7964854</v>
      </c>
      <c r="Z134" s="142">
        <v>0</v>
      </c>
      <c r="AA134" s="143">
        <f>Z134*K134</f>
        <v>0</v>
      </c>
      <c r="AE134" s="144">
        <f>IF(U134="zákl. přenesená",N134,0)</f>
        <v>0</v>
      </c>
      <c r="AF134" s="144">
        <f>IF(U134="sníž. přenesená",N134,0)</f>
        <v>0</v>
      </c>
      <c r="AG134" s="144">
        <f>IF(U134="nulová",N134,0)</f>
        <v>0</v>
      </c>
      <c r="AH134" s="20" t="s">
        <v>73</v>
      </c>
      <c r="AI134" s="144">
        <f>ROUND(L134*K134,2)</f>
        <v>0</v>
      </c>
      <c r="AJ134" s="20" t="s">
        <v>127</v>
      </c>
      <c r="AK134" s="20" t="s">
        <v>385</v>
      </c>
    </row>
    <row r="135" spans="2:37" s="10" customFormat="1" ht="16.5" customHeight="1">
      <c r="B135" s="145"/>
      <c r="C135" s="146"/>
      <c r="D135" s="146"/>
      <c r="E135" s="147" t="s">
        <v>5</v>
      </c>
      <c r="F135" s="261" t="s">
        <v>135</v>
      </c>
      <c r="G135" s="262"/>
      <c r="H135" s="262"/>
      <c r="I135" s="262"/>
      <c r="J135" s="146"/>
      <c r="K135" s="147" t="s">
        <v>5</v>
      </c>
      <c r="L135" s="146"/>
      <c r="M135" s="146"/>
      <c r="N135" s="146"/>
      <c r="O135" s="146"/>
      <c r="P135" s="146"/>
      <c r="Q135" s="146"/>
      <c r="R135" s="148"/>
      <c r="T135" s="149"/>
      <c r="U135" s="146"/>
      <c r="V135" s="146"/>
      <c r="W135" s="146"/>
      <c r="X135" s="146"/>
      <c r="Y135" s="146"/>
      <c r="Z135" s="146"/>
      <c r="AA135" s="150"/>
    </row>
    <row r="136" spans="2:37" s="10" customFormat="1" ht="16.5" customHeight="1">
      <c r="B136" s="145"/>
      <c r="C136" s="146"/>
      <c r="D136" s="146"/>
      <c r="E136" s="147" t="s">
        <v>5</v>
      </c>
      <c r="F136" s="259" t="s">
        <v>334</v>
      </c>
      <c r="G136" s="260"/>
      <c r="H136" s="260"/>
      <c r="I136" s="260"/>
      <c r="J136" s="146"/>
      <c r="K136" s="147" t="s">
        <v>5</v>
      </c>
      <c r="L136" s="146"/>
      <c r="M136" s="146"/>
      <c r="N136" s="146"/>
      <c r="O136" s="146"/>
      <c r="P136" s="146"/>
      <c r="Q136" s="146"/>
      <c r="R136" s="148"/>
      <c r="T136" s="149"/>
      <c r="U136" s="146"/>
      <c r="V136" s="146"/>
      <c r="W136" s="146"/>
      <c r="X136" s="146"/>
      <c r="Y136" s="146"/>
      <c r="Z136" s="146"/>
      <c r="AA136" s="150"/>
    </row>
    <row r="137" spans="2:37" s="11" customFormat="1" ht="25.5" customHeight="1">
      <c r="B137" s="152"/>
      <c r="C137" s="153"/>
      <c r="D137" s="153"/>
      <c r="E137" s="154" t="s">
        <v>5</v>
      </c>
      <c r="F137" s="252" t="s">
        <v>442</v>
      </c>
      <c r="G137" s="253"/>
      <c r="H137" s="253"/>
      <c r="I137" s="253"/>
      <c r="J137" s="153"/>
      <c r="K137" s="155">
        <f>33.51*11.2+3.65*11.2*2-8*0.8*0.4-16*1.25*2.49-1.5*2.65-1.9*3.2-1.9*1</f>
        <v>392.75699999999995</v>
      </c>
      <c r="L137" s="153"/>
      <c r="M137" s="153"/>
      <c r="N137" s="153"/>
      <c r="O137" s="153"/>
      <c r="P137" s="153"/>
      <c r="Q137" s="153"/>
      <c r="R137" s="156"/>
      <c r="T137" s="157"/>
      <c r="U137" s="153"/>
      <c r="V137" s="153"/>
      <c r="W137" s="153"/>
      <c r="X137" s="153"/>
      <c r="Y137" s="153"/>
      <c r="Z137" s="153"/>
      <c r="AA137" s="158"/>
    </row>
    <row r="138" spans="2:37" s="10" customFormat="1" ht="16.5" customHeight="1">
      <c r="B138" s="145"/>
      <c r="C138" s="146"/>
      <c r="D138" s="146"/>
      <c r="E138" s="147" t="s">
        <v>5</v>
      </c>
      <c r="F138" s="259" t="s">
        <v>335</v>
      </c>
      <c r="G138" s="260"/>
      <c r="H138" s="260"/>
      <c r="I138" s="260"/>
      <c r="J138" s="146"/>
      <c r="K138" s="147" t="s">
        <v>5</v>
      </c>
      <c r="L138" s="146"/>
      <c r="M138" s="146"/>
      <c r="N138" s="146"/>
      <c r="O138" s="146"/>
      <c r="P138" s="146"/>
      <c r="Q138" s="146"/>
      <c r="R138" s="148"/>
      <c r="T138" s="149"/>
      <c r="U138" s="146"/>
      <c r="V138" s="146"/>
      <c r="W138" s="146"/>
      <c r="X138" s="146"/>
      <c r="Y138" s="146"/>
      <c r="Z138" s="146"/>
      <c r="AA138" s="150"/>
    </row>
    <row r="139" spans="2:37" s="11" customFormat="1" ht="16.5" customHeight="1">
      <c r="B139" s="152"/>
      <c r="C139" s="153"/>
      <c r="D139" s="153"/>
      <c r="E139" s="154" t="s">
        <v>5</v>
      </c>
      <c r="F139" s="252" t="s">
        <v>443</v>
      </c>
      <c r="G139" s="253"/>
      <c r="H139" s="253"/>
      <c r="I139" s="253"/>
      <c r="J139" s="153"/>
      <c r="K139" s="155">
        <f>17.85*11.2-3*0.8*0.4-2*1.25*2.49</f>
        <v>192.73500000000001</v>
      </c>
      <c r="L139" s="153"/>
      <c r="M139" s="153"/>
      <c r="N139" s="153"/>
      <c r="O139" s="153"/>
      <c r="P139" s="153"/>
      <c r="Q139" s="153"/>
      <c r="R139" s="156"/>
      <c r="T139" s="157"/>
      <c r="U139" s="153"/>
      <c r="V139" s="153"/>
      <c r="W139" s="153"/>
      <c r="X139" s="153"/>
      <c r="Y139" s="153"/>
      <c r="Z139" s="153"/>
      <c r="AA139" s="158"/>
    </row>
    <row r="140" spans="2:37" s="10" customFormat="1" ht="16.5" customHeight="1">
      <c r="B140" s="145"/>
      <c r="C140" s="146"/>
      <c r="D140" s="146"/>
      <c r="E140" s="147" t="s">
        <v>5</v>
      </c>
      <c r="F140" s="259" t="s">
        <v>333</v>
      </c>
      <c r="G140" s="260"/>
      <c r="H140" s="260"/>
      <c r="I140" s="260"/>
      <c r="J140" s="146"/>
      <c r="K140" s="147" t="s">
        <v>5</v>
      </c>
      <c r="L140" s="146"/>
      <c r="M140" s="146"/>
      <c r="N140" s="146"/>
      <c r="O140" s="146"/>
      <c r="P140" s="146"/>
      <c r="Q140" s="146"/>
      <c r="R140" s="148"/>
      <c r="T140" s="149"/>
      <c r="U140" s="146"/>
      <c r="V140" s="146"/>
      <c r="W140" s="146"/>
      <c r="X140" s="146"/>
      <c r="Y140" s="146"/>
      <c r="Z140" s="146"/>
      <c r="AA140" s="150"/>
    </row>
    <row r="141" spans="2:37" s="11" customFormat="1" ht="25.5" customHeight="1">
      <c r="B141" s="152"/>
      <c r="C141" s="153"/>
      <c r="D141" s="153"/>
      <c r="E141" s="154" t="s">
        <v>5</v>
      </c>
      <c r="F141" s="252" t="s">
        <v>444</v>
      </c>
      <c r="G141" s="253"/>
      <c r="H141" s="253"/>
      <c r="I141" s="253"/>
      <c r="J141" s="153"/>
      <c r="K141" s="155">
        <f>33.31*11.2+2.2*11.2+9.68*11.2-3*0.8*0.4-15*1.25*2.49-8*1.05*2.49-1.34*2.4</f>
        <v>434.3485</v>
      </c>
      <c r="L141" s="153"/>
      <c r="M141" s="153"/>
      <c r="N141" s="153"/>
      <c r="O141" s="153"/>
      <c r="P141" s="153"/>
      <c r="Q141" s="153"/>
      <c r="R141" s="156"/>
      <c r="T141" s="157"/>
      <c r="U141" s="153"/>
      <c r="V141" s="153"/>
      <c r="W141" s="153"/>
      <c r="X141" s="153"/>
      <c r="Y141" s="153"/>
      <c r="Z141" s="153"/>
      <c r="AA141" s="158"/>
    </row>
    <row r="142" spans="2:37" s="10" customFormat="1" ht="16.5" customHeight="1">
      <c r="B142" s="145"/>
      <c r="C142" s="146"/>
      <c r="D142" s="146"/>
      <c r="E142" s="147" t="s">
        <v>5</v>
      </c>
      <c r="F142" s="259" t="s">
        <v>332</v>
      </c>
      <c r="G142" s="260"/>
      <c r="H142" s="260"/>
      <c r="I142" s="260"/>
      <c r="J142" s="146"/>
      <c r="K142" s="147" t="s">
        <v>5</v>
      </c>
      <c r="L142" s="146"/>
      <c r="M142" s="146"/>
      <c r="N142" s="146"/>
      <c r="O142" s="146"/>
      <c r="P142" s="146"/>
      <c r="Q142" s="146"/>
      <c r="R142" s="148"/>
      <c r="T142" s="149"/>
      <c r="U142" s="146"/>
      <c r="V142" s="146"/>
      <c r="W142" s="146"/>
      <c r="X142" s="146"/>
      <c r="Y142" s="146"/>
      <c r="Z142" s="146"/>
      <c r="AA142" s="150"/>
    </row>
    <row r="143" spans="2:37" s="11" customFormat="1" ht="25.5" customHeight="1">
      <c r="B143" s="152"/>
      <c r="C143" s="153"/>
      <c r="D143" s="153"/>
      <c r="E143" s="154" t="s">
        <v>5</v>
      </c>
      <c r="F143" s="252" t="s">
        <v>445</v>
      </c>
      <c r="G143" s="253"/>
      <c r="H143" s="253"/>
      <c r="I143" s="253"/>
      <c r="J143" s="153"/>
      <c r="K143" s="155">
        <f>33.31*11.2+2.2*11.2+9.68*11.2-4*0.8*0.4-13*1.25*2.49-12*1.05*2.49-1.44*3.4</f>
        <v>428.11549999999994</v>
      </c>
      <c r="L143" s="153"/>
      <c r="M143" s="153"/>
      <c r="N143" s="153"/>
      <c r="O143" s="153"/>
      <c r="P143" s="153"/>
      <c r="Q143" s="153"/>
      <c r="R143" s="156"/>
      <c r="T143" s="157"/>
      <c r="U143" s="153"/>
      <c r="V143" s="153"/>
      <c r="W143" s="153"/>
      <c r="X143" s="153"/>
      <c r="Y143" s="153"/>
      <c r="Z143" s="153"/>
      <c r="AA143" s="158"/>
    </row>
    <row r="144" spans="2:37" s="10" customFormat="1" ht="16.5" customHeight="1">
      <c r="B144" s="145"/>
      <c r="C144" s="146"/>
      <c r="D144" s="146"/>
      <c r="E144" s="147" t="s">
        <v>5</v>
      </c>
      <c r="F144" s="259" t="s">
        <v>154</v>
      </c>
      <c r="G144" s="260"/>
      <c r="H144" s="260"/>
      <c r="I144" s="260"/>
      <c r="J144" s="146"/>
      <c r="K144" s="147" t="s">
        <v>5</v>
      </c>
      <c r="L144" s="146"/>
      <c r="M144" s="146"/>
      <c r="N144" s="146"/>
      <c r="O144" s="146"/>
      <c r="P144" s="146"/>
      <c r="Q144" s="146"/>
      <c r="R144" s="148"/>
      <c r="T144" s="149"/>
      <c r="U144" s="146"/>
      <c r="V144" s="146"/>
      <c r="W144" s="146"/>
      <c r="X144" s="146"/>
      <c r="Y144" s="146"/>
      <c r="Z144" s="146"/>
      <c r="AA144" s="150"/>
    </row>
    <row r="145" spans="2:37" s="11" customFormat="1" ht="16.5" customHeight="1">
      <c r="B145" s="152"/>
      <c r="C145" s="153"/>
      <c r="D145" s="153"/>
      <c r="E145" s="154" t="s">
        <v>5</v>
      </c>
      <c r="F145" s="252" t="s">
        <v>446</v>
      </c>
      <c r="G145" s="253"/>
      <c r="H145" s="253"/>
      <c r="I145" s="253"/>
      <c r="J145" s="153"/>
      <c r="K145" s="155">
        <f>523.36*0.3</f>
        <v>157.00800000000001</v>
      </c>
      <c r="L145" s="153"/>
      <c r="M145" s="153"/>
      <c r="N145" s="153"/>
      <c r="O145" s="153"/>
      <c r="P145" s="153"/>
      <c r="Q145" s="153"/>
      <c r="R145" s="156"/>
      <c r="T145" s="157"/>
      <c r="U145" s="153"/>
      <c r="V145" s="153"/>
      <c r="W145" s="153"/>
      <c r="X145" s="153"/>
      <c r="Y145" s="153"/>
      <c r="Z145" s="153"/>
      <c r="AA145" s="158"/>
    </row>
    <row r="146" spans="2:37" s="12" customFormat="1" ht="16.5" customHeight="1">
      <c r="B146" s="160"/>
      <c r="C146" s="161"/>
      <c r="D146" s="161"/>
      <c r="E146" s="162" t="s">
        <v>5</v>
      </c>
      <c r="F146" s="256" t="s">
        <v>128</v>
      </c>
      <c r="G146" s="257"/>
      <c r="H146" s="257"/>
      <c r="I146" s="257"/>
      <c r="J146" s="161"/>
      <c r="K146" s="163">
        <f>K137+K139+K141+K143+K145</f>
        <v>1604.9639999999999</v>
      </c>
      <c r="L146" s="161"/>
      <c r="M146" s="161"/>
      <c r="N146" s="161"/>
      <c r="O146" s="161"/>
      <c r="P146" s="161"/>
      <c r="Q146" s="161"/>
      <c r="R146" s="164"/>
      <c r="T146" s="165"/>
      <c r="U146" s="161"/>
      <c r="V146" s="161"/>
      <c r="W146" s="161"/>
      <c r="X146" s="161"/>
      <c r="Y146" s="161"/>
      <c r="Z146" s="161"/>
      <c r="AA146" s="166"/>
    </row>
    <row r="147" spans="2:37" s="1" customFormat="1" ht="16.5" customHeight="1">
      <c r="B147" s="135"/>
      <c r="C147" s="136" t="s">
        <v>196</v>
      </c>
      <c r="D147" s="136" t="s">
        <v>125</v>
      </c>
      <c r="E147" s="137" t="s">
        <v>136</v>
      </c>
      <c r="F147" s="258" t="s">
        <v>137</v>
      </c>
      <c r="G147" s="258"/>
      <c r="H147" s="258"/>
      <c r="I147" s="258"/>
      <c r="J147" s="138" t="s">
        <v>138</v>
      </c>
      <c r="K147" s="139">
        <f>K150</f>
        <v>107</v>
      </c>
      <c r="L147" s="251">
        <v>0</v>
      </c>
      <c r="M147" s="251"/>
      <c r="N147" s="251">
        <f>ROUND(L147*K147,2)</f>
        <v>0</v>
      </c>
      <c r="O147" s="251"/>
      <c r="P147" s="251"/>
      <c r="Q147" s="251"/>
      <c r="R147" s="140"/>
      <c r="T147" s="141" t="s">
        <v>5</v>
      </c>
      <c r="U147" s="42" t="s">
        <v>37</v>
      </c>
      <c r="V147" s="142">
        <v>0.32</v>
      </c>
      <c r="W147" s="142">
        <f>V147*K147</f>
        <v>34.24</v>
      </c>
      <c r="X147" s="142">
        <v>1.7600000000000001E-3</v>
      </c>
      <c r="Y147" s="142">
        <f>X147*K147</f>
        <v>0.18832000000000002</v>
      </c>
      <c r="Z147" s="142">
        <v>0</v>
      </c>
      <c r="AA147" s="143">
        <f>Z147*K147</f>
        <v>0</v>
      </c>
      <c r="AE147" s="144">
        <f>IF(U147="zákl. přenesená",N147,0)</f>
        <v>0</v>
      </c>
      <c r="AF147" s="144">
        <f>IF(U147="sníž. přenesená",N147,0)</f>
        <v>0</v>
      </c>
      <c r="AG147" s="144">
        <f>IF(U147="nulová",N147,0)</f>
        <v>0</v>
      </c>
      <c r="AH147" s="20" t="s">
        <v>73</v>
      </c>
      <c r="AI147" s="144">
        <f>ROUND(L147*K147,2)</f>
        <v>0</v>
      </c>
      <c r="AJ147" s="20" t="s">
        <v>127</v>
      </c>
      <c r="AK147" s="20" t="s">
        <v>386</v>
      </c>
    </row>
    <row r="148" spans="2:37" s="10" customFormat="1" ht="16.5" customHeight="1">
      <c r="B148" s="145"/>
      <c r="C148" s="146"/>
      <c r="D148" s="146"/>
      <c r="E148" s="147" t="s">
        <v>5</v>
      </c>
      <c r="F148" s="261" t="s">
        <v>139</v>
      </c>
      <c r="G148" s="262"/>
      <c r="H148" s="262"/>
      <c r="I148" s="262"/>
      <c r="J148" s="146"/>
      <c r="K148" s="147" t="s">
        <v>5</v>
      </c>
      <c r="L148" s="146"/>
      <c r="M148" s="146"/>
      <c r="N148" s="146"/>
      <c r="O148" s="146"/>
      <c r="P148" s="146"/>
      <c r="Q148" s="146"/>
      <c r="R148" s="148"/>
      <c r="T148" s="149"/>
      <c r="U148" s="146"/>
      <c r="V148" s="146"/>
      <c r="W148" s="146"/>
      <c r="X148" s="146"/>
      <c r="Y148" s="146"/>
      <c r="Z148" s="146"/>
      <c r="AA148" s="150"/>
    </row>
    <row r="149" spans="2:37" s="11" customFormat="1" ht="16.5" customHeight="1">
      <c r="B149" s="152"/>
      <c r="C149" s="153"/>
      <c r="D149" s="153"/>
      <c r="E149" s="154" t="s">
        <v>5</v>
      </c>
      <c r="F149" s="252">
        <v>107</v>
      </c>
      <c r="G149" s="253"/>
      <c r="H149" s="253"/>
      <c r="I149" s="253"/>
      <c r="J149" s="153"/>
      <c r="K149" s="155">
        <v>107</v>
      </c>
      <c r="L149" s="153"/>
      <c r="M149" s="153"/>
      <c r="N149" s="153"/>
      <c r="O149" s="153"/>
      <c r="P149" s="153"/>
      <c r="Q149" s="153"/>
      <c r="R149" s="156"/>
      <c r="T149" s="157"/>
      <c r="U149" s="153"/>
      <c r="V149" s="153"/>
      <c r="W149" s="153"/>
      <c r="X149" s="153"/>
      <c r="Y149" s="153"/>
      <c r="Z149" s="153"/>
      <c r="AA149" s="158"/>
    </row>
    <row r="150" spans="2:37" s="12" customFormat="1" ht="16.5" customHeight="1">
      <c r="B150" s="160"/>
      <c r="C150" s="161"/>
      <c r="D150" s="161"/>
      <c r="E150" s="162" t="s">
        <v>5</v>
      </c>
      <c r="F150" s="256" t="s">
        <v>128</v>
      </c>
      <c r="G150" s="257"/>
      <c r="H150" s="257"/>
      <c r="I150" s="257"/>
      <c r="J150" s="161"/>
      <c r="K150" s="163">
        <f>K149</f>
        <v>107</v>
      </c>
      <c r="L150" s="161"/>
      <c r="M150" s="161"/>
      <c r="N150" s="161"/>
      <c r="O150" s="161"/>
      <c r="P150" s="161"/>
      <c r="Q150" s="161"/>
      <c r="R150" s="164"/>
      <c r="T150" s="165"/>
      <c r="U150" s="161"/>
      <c r="V150" s="161"/>
      <c r="W150" s="161"/>
      <c r="X150" s="161"/>
      <c r="Y150" s="161"/>
      <c r="Z150" s="161"/>
      <c r="AA150" s="166"/>
    </row>
    <row r="151" spans="2:37" s="1" customFormat="1" ht="25.5" customHeight="1">
      <c r="B151" s="135"/>
      <c r="C151" s="136" t="s">
        <v>91</v>
      </c>
      <c r="D151" s="136" t="s">
        <v>125</v>
      </c>
      <c r="E151" s="137" t="s">
        <v>142</v>
      </c>
      <c r="F151" s="258" t="s">
        <v>143</v>
      </c>
      <c r="G151" s="258"/>
      <c r="H151" s="258"/>
      <c r="I151" s="258"/>
      <c r="J151" s="138" t="s">
        <v>126</v>
      </c>
      <c r="K151" s="139">
        <f>K161</f>
        <v>1447.9560000000001</v>
      </c>
      <c r="L151" s="251">
        <v>0</v>
      </c>
      <c r="M151" s="251"/>
      <c r="N151" s="251">
        <f>ROUND(L151*K151,2)</f>
        <v>0</v>
      </c>
      <c r="O151" s="251"/>
      <c r="P151" s="251"/>
      <c r="Q151" s="251"/>
      <c r="R151" s="140"/>
      <c r="T151" s="141" t="s">
        <v>5</v>
      </c>
      <c r="U151" s="42" t="s">
        <v>37</v>
      </c>
      <c r="V151" s="142">
        <v>0.46</v>
      </c>
      <c r="W151" s="142">
        <f>V151*K151</f>
        <v>666.0597600000001</v>
      </c>
      <c r="X151" s="142">
        <v>2.6360000000000001E-2</v>
      </c>
      <c r="Y151" s="142">
        <f>X151*K151</f>
        <v>38.168120160000008</v>
      </c>
      <c r="Z151" s="142">
        <v>0</v>
      </c>
      <c r="AA151" s="143">
        <f>Z151*K151</f>
        <v>0</v>
      </c>
      <c r="AE151" s="144">
        <f>IF(U151="zákl. přenesená",N151,0)</f>
        <v>0</v>
      </c>
      <c r="AF151" s="144">
        <f>IF(U151="sníž. přenesená",N151,0)</f>
        <v>0</v>
      </c>
      <c r="AG151" s="144">
        <f>IF(U151="nulová",N151,0)</f>
        <v>0</v>
      </c>
      <c r="AH151" s="20" t="s">
        <v>73</v>
      </c>
      <c r="AI151" s="144">
        <f>ROUND(L151*K151,2)</f>
        <v>0</v>
      </c>
      <c r="AJ151" s="20" t="s">
        <v>127</v>
      </c>
      <c r="AK151" s="20" t="s">
        <v>387</v>
      </c>
    </row>
    <row r="152" spans="2:37" s="10" customFormat="1" ht="16.5" customHeight="1">
      <c r="B152" s="145"/>
      <c r="C152" s="146"/>
      <c r="D152" s="146"/>
      <c r="E152" s="147" t="s">
        <v>5</v>
      </c>
      <c r="F152" s="261" t="s">
        <v>144</v>
      </c>
      <c r="G152" s="262"/>
      <c r="H152" s="262"/>
      <c r="I152" s="262"/>
      <c r="J152" s="146"/>
      <c r="K152" s="147" t="s">
        <v>5</v>
      </c>
      <c r="L152" s="146"/>
      <c r="M152" s="146"/>
      <c r="N152" s="146"/>
      <c r="O152" s="146"/>
      <c r="P152" s="146"/>
      <c r="Q152" s="146"/>
      <c r="R152" s="148"/>
      <c r="T152" s="149"/>
      <c r="U152" s="146"/>
      <c r="V152" s="146"/>
      <c r="W152" s="146"/>
      <c r="X152" s="146"/>
      <c r="Y152" s="146"/>
      <c r="Z152" s="146"/>
      <c r="AA152" s="150"/>
    </row>
    <row r="153" spans="2:37" s="10" customFormat="1" ht="16.5" customHeight="1">
      <c r="B153" s="145"/>
      <c r="C153" s="146"/>
      <c r="D153" s="146"/>
      <c r="E153" s="147" t="s">
        <v>5</v>
      </c>
      <c r="F153" s="259" t="s">
        <v>334</v>
      </c>
      <c r="G153" s="260"/>
      <c r="H153" s="260"/>
      <c r="I153" s="260"/>
      <c r="J153" s="146"/>
      <c r="K153" s="147" t="s">
        <v>5</v>
      </c>
      <c r="L153" s="146"/>
      <c r="M153" s="146"/>
      <c r="N153" s="146"/>
      <c r="O153" s="146"/>
      <c r="P153" s="146"/>
      <c r="Q153" s="146"/>
      <c r="R153" s="148"/>
      <c r="T153" s="149"/>
      <c r="U153" s="146"/>
      <c r="V153" s="146"/>
      <c r="W153" s="146"/>
      <c r="X153" s="146"/>
      <c r="Y153" s="146"/>
      <c r="Z153" s="146"/>
      <c r="AA153" s="150"/>
    </row>
    <row r="154" spans="2:37" s="11" customFormat="1" ht="25.5" customHeight="1">
      <c r="B154" s="152"/>
      <c r="C154" s="153"/>
      <c r="D154" s="153"/>
      <c r="E154" s="154" t="s">
        <v>5</v>
      </c>
      <c r="F154" s="252" t="s">
        <v>442</v>
      </c>
      <c r="G154" s="253"/>
      <c r="H154" s="253"/>
      <c r="I154" s="253"/>
      <c r="J154" s="153"/>
      <c r="K154" s="155">
        <f>33.51*11.2+3.65*11.2*2-8*0.8*0.4-16*1.25*2.49-1.5*2.65-1.9*3.2-1.9*1</f>
        <v>392.75699999999995</v>
      </c>
      <c r="L154" s="153"/>
      <c r="M154" s="153"/>
      <c r="N154" s="153"/>
      <c r="O154" s="153"/>
      <c r="P154" s="153"/>
      <c r="Q154" s="153"/>
      <c r="R154" s="156"/>
      <c r="T154" s="157"/>
      <c r="U154" s="153"/>
      <c r="V154" s="153"/>
      <c r="W154" s="153"/>
      <c r="X154" s="153"/>
      <c r="Y154" s="153"/>
      <c r="Z154" s="153"/>
      <c r="AA154" s="158"/>
    </row>
    <row r="155" spans="2:37" s="10" customFormat="1" ht="16.5" customHeight="1">
      <c r="B155" s="145"/>
      <c r="C155" s="146"/>
      <c r="D155" s="146"/>
      <c r="E155" s="147" t="s">
        <v>5</v>
      </c>
      <c r="F155" s="259" t="s">
        <v>335</v>
      </c>
      <c r="G155" s="260"/>
      <c r="H155" s="260"/>
      <c r="I155" s="260"/>
      <c r="J155" s="146"/>
      <c r="K155" s="147" t="s">
        <v>5</v>
      </c>
      <c r="L155" s="146"/>
      <c r="M155" s="146"/>
      <c r="N155" s="146"/>
      <c r="O155" s="146"/>
      <c r="P155" s="146"/>
      <c r="Q155" s="146"/>
      <c r="R155" s="148"/>
      <c r="T155" s="149"/>
      <c r="U155" s="146"/>
      <c r="V155" s="146"/>
      <c r="W155" s="146"/>
      <c r="X155" s="146"/>
      <c r="Y155" s="146"/>
      <c r="Z155" s="146"/>
      <c r="AA155" s="150"/>
    </row>
    <row r="156" spans="2:37" s="11" customFormat="1" ht="16.5" customHeight="1">
      <c r="B156" s="152"/>
      <c r="C156" s="153"/>
      <c r="D156" s="153"/>
      <c r="E156" s="154" t="s">
        <v>5</v>
      </c>
      <c r="F156" s="252" t="s">
        <v>443</v>
      </c>
      <c r="G156" s="253"/>
      <c r="H156" s="253"/>
      <c r="I156" s="253"/>
      <c r="J156" s="153"/>
      <c r="K156" s="155">
        <f>17.85*11.2-3*0.8*0.4-2*1.25*2.49</f>
        <v>192.73500000000001</v>
      </c>
      <c r="L156" s="153"/>
      <c r="M156" s="153"/>
      <c r="N156" s="153"/>
      <c r="O156" s="153"/>
      <c r="P156" s="153"/>
      <c r="Q156" s="153"/>
      <c r="R156" s="156"/>
      <c r="T156" s="157"/>
      <c r="U156" s="153"/>
      <c r="V156" s="153"/>
      <c r="W156" s="153"/>
      <c r="X156" s="153"/>
      <c r="Y156" s="153"/>
      <c r="Z156" s="153"/>
      <c r="AA156" s="158"/>
    </row>
    <row r="157" spans="2:37" s="10" customFormat="1" ht="16.5" customHeight="1">
      <c r="B157" s="145"/>
      <c r="C157" s="146"/>
      <c r="D157" s="146"/>
      <c r="E157" s="147" t="s">
        <v>5</v>
      </c>
      <c r="F157" s="259" t="s">
        <v>333</v>
      </c>
      <c r="G157" s="260"/>
      <c r="H157" s="260"/>
      <c r="I157" s="260"/>
      <c r="J157" s="146"/>
      <c r="K157" s="147" t="s">
        <v>5</v>
      </c>
      <c r="L157" s="146"/>
      <c r="M157" s="146"/>
      <c r="N157" s="146"/>
      <c r="O157" s="146"/>
      <c r="P157" s="146"/>
      <c r="Q157" s="146"/>
      <c r="R157" s="148"/>
      <c r="T157" s="149"/>
      <c r="U157" s="146"/>
      <c r="V157" s="146"/>
      <c r="W157" s="146"/>
      <c r="X157" s="146"/>
      <c r="Y157" s="146"/>
      <c r="Z157" s="146"/>
      <c r="AA157" s="150"/>
    </row>
    <row r="158" spans="2:37" s="11" customFormat="1" ht="25.5" customHeight="1">
      <c r="B158" s="152"/>
      <c r="C158" s="153"/>
      <c r="D158" s="153"/>
      <c r="E158" s="154" t="s">
        <v>5</v>
      </c>
      <c r="F158" s="252" t="s">
        <v>444</v>
      </c>
      <c r="G158" s="253"/>
      <c r="H158" s="253"/>
      <c r="I158" s="253"/>
      <c r="J158" s="153"/>
      <c r="K158" s="155">
        <f>33.31*11.2+2.2*11.2+9.68*11.2-3*0.8*0.4-15*1.25*2.49-8*1.05*2.49-1.34*2.4</f>
        <v>434.3485</v>
      </c>
      <c r="L158" s="153"/>
      <c r="M158" s="153"/>
      <c r="N158" s="153"/>
      <c r="O158" s="153"/>
      <c r="P158" s="153"/>
      <c r="Q158" s="153"/>
      <c r="R158" s="156"/>
      <c r="T158" s="157"/>
      <c r="U158" s="153"/>
      <c r="V158" s="153"/>
      <c r="W158" s="153"/>
      <c r="X158" s="153"/>
      <c r="Y158" s="153"/>
      <c r="Z158" s="153"/>
      <c r="AA158" s="158"/>
    </row>
    <row r="159" spans="2:37" s="10" customFormat="1" ht="16.5" customHeight="1">
      <c r="B159" s="145"/>
      <c r="C159" s="146"/>
      <c r="D159" s="146"/>
      <c r="E159" s="147" t="s">
        <v>5</v>
      </c>
      <c r="F159" s="259" t="s">
        <v>332</v>
      </c>
      <c r="G159" s="260"/>
      <c r="H159" s="260"/>
      <c r="I159" s="260"/>
      <c r="J159" s="146"/>
      <c r="K159" s="147" t="s">
        <v>5</v>
      </c>
      <c r="L159" s="146"/>
      <c r="M159" s="146"/>
      <c r="N159" s="146"/>
      <c r="O159" s="146"/>
      <c r="P159" s="146"/>
      <c r="Q159" s="146"/>
      <c r="R159" s="148"/>
      <c r="T159" s="149"/>
      <c r="U159" s="146"/>
      <c r="V159" s="146"/>
      <c r="W159" s="146"/>
      <c r="X159" s="146"/>
      <c r="Y159" s="146"/>
      <c r="Z159" s="146"/>
      <c r="AA159" s="150"/>
    </row>
    <row r="160" spans="2:37" s="11" customFormat="1" ht="25.5" customHeight="1">
      <c r="B160" s="152"/>
      <c r="C160" s="153"/>
      <c r="D160" s="153"/>
      <c r="E160" s="154" t="s">
        <v>5</v>
      </c>
      <c r="F160" s="252" t="s">
        <v>445</v>
      </c>
      <c r="G160" s="253"/>
      <c r="H160" s="253"/>
      <c r="I160" s="253"/>
      <c r="J160" s="153"/>
      <c r="K160" s="155">
        <f>33.31*11.2+2.2*11.2+9.68*11.2-4*0.8*0.4-13*1.25*2.49-12*1.05*2.49-1.44*3.4</f>
        <v>428.11549999999994</v>
      </c>
      <c r="L160" s="153"/>
      <c r="M160" s="153"/>
      <c r="N160" s="153"/>
      <c r="O160" s="153"/>
      <c r="P160" s="153"/>
      <c r="Q160" s="153"/>
      <c r="R160" s="156"/>
      <c r="T160" s="157"/>
      <c r="U160" s="153"/>
      <c r="V160" s="153"/>
      <c r="W160" s="153"/>
      <c r="X160" s="153"/>
      <c r="Y160" s="153"/>
      <c r="Z160" s="153"/>
      <c r="AA160" s="158"/>
    </row>
    <row r="161" spans="2:37" s="12" customFormat="1" ht="16.5" customHeight="1">
      <c r="B161" s="160"/>
      <c r="C161" s="161"/>
      <c r="D161" s="161"/>
      <c r="E161" s="162" t="s">
        <v>5</v>
      </c>
      <c r="F161" s="256" t="s">
        <v>128</v>
      </c>
      <c r="G161" s="257"/>
      <c r="H161" s="257"/>
      <c r="I161" s="257"/>
      <c r="J161" s="161"/>
      <c r="K161" s="163">
        <f>K160+K158+K156+K154</f>
        <v>1447.9560000000001</v>
      </c>
      <c r="L161" s="161"/>
      <c r="M161" s="161"/>
      <c r="N161" s="161"/>
      <c r="O161" s="161"/>
      <c r="P161" s="161"/>
      <c r="Q161" s="161"/>
      <c r="R161" s="164"/>
      <c r="T161" s="165"/>
      <c r="U161" s="161"/>
      <c r="V161" s="161"/>
      <c r="W161" s="161"/>
      <c r="X161" s="161"/>
      <c r="Y161" s="161"/>
      <c r="Z161" s="161"/>
      <c r="AA161" s="166"/>
    </row>
    <row r="162" spans="2:37" s="1" customFormat="1" ht="25.5" customHeight="1">
      <c r="B162" s="135"/>
      <c r="C162" s="136" t="s">
        <v>199</v>
      </c>
      <c r="D162" s="136" t="s">
        <v>125</v>
      </c>
      <c r="E162" s="137" t="s">
        <v>146</v>
      </c>
      <c r="F162" s="258" t="s">
        <v>147</v>
      </c>
      <c r="G162" s="258"/>
      <c r="H162" s="258"/>
      <c r="I162" s="258"/>
      <c r="J162" s="138" t="s">
        <v>138</v>
      </c>
      <c r="K162" s="139">
        <f>K164</f>
        <v>107</v>
      </c>
      <c r="L162" s="251">
        <v>0</v>
      </c>
      <c r="M162" s="251"/>
      <c r="N162" s="251">
        <f>ROUND(L162*K162,2)</f>
        <v>0</v>
      </c>
      <c r="O162" s="251"/>
      <c r="P162" s="251"/>
      <c r="Q162" s="251"/>
      <c r="R162" s="140"/>
      <c r="T162" s="141" t="s">
        <v>5</v>
      </c>
      <c r="U162" s="42" t="s">
        <v>37</v>
      </c>
      <c r="V162" s="142">
        <v>0.41</v>
      </c>
      <c r="W162" s="142">
        <f>V162*K162</f>
        <v>43.87</v>
      </c>
      <c r="X162" s="142">
        <v>6.3E-3</v>
      </c>
      <c r="Y162" s="142">
        <f>X162*K162</f>
        <v>0.67410000000000003</v>
      </c>
      <c r="Z162" s="142">
        <v>0</v>
      </c>
      <c r="AA162" s="143">
        <f>Z162*K162</f>
        <v>0</v>
      </c>
      <c r="AE162" s="144">
        <f>IF(U162="zákl. přenesená",N162,0)</f>
        <v>0</v>
      </c>
      <c r="AF162" s="144">
        <f>IF(U162="sníž. přenesená",N162,0)</f>
        <v>0</v>
      </c>
      <c r="AG162" s="144">
        <f>IF(U162="nulová",N162,0)</f>
        <v>0</v>
      </c>
      <c r="AH162" s="20" t="s">
        <v>73</v>
      </c>
      <c r="AI162" s="144">
        <f>ROUND(L162*K162,2)</f>
        <v>0</v>
      </c>
      <c r="AJ162" s="20" t="s">
        <v>127</v>
      </c>
      <c r="AK162" s="20" t="s">
        <v>388</v>
      </c>
    </row>
    <row r="163" spans="2:37" s="10" customFormat="1" ht="16.5" customHeight="1">
      <c r="B163" s="145"/>
      <c r="C163" s="146"/>
      <c r="D163" s="146"/>
      <c r="E163" s="147" t="s">
        <v>5</v>
      </c>
      <c r="F163" s="261" t="s">
        <v>148</v>
      </c>
      <c r="G163" s="262"/>
      <c r="H163" s="262"/>
      <c r="I163" s="262"/>
      <c r="J163" s="146"/>
      <c r="K163" s="147" t="s">
        <v>5</v>
      </c>
      <c r="L163" s="146"/>
      <c r="M163" s="146"/>
      <c r="N163" s="146"/>
      <c r="O163" s="146"/>
      <c r="P163" s="146"/>
      <c r="Q163" s="146"/>
      <c r="R163" s="148"/>
      <c r="T163" s="149"/>
      <c r="U163" s="146"/>
      <c r="V163" s="146"/>
      <c r="W163" s="146"/>
      <c r="X163" s="146"/>
      <c r="Y163" s="146"/>
      <c r="Z163" s="146"/>
      <c r="AA163" s="150"/>
    </row>
    <row r="164" spans="2:37" s="11" customFormat="1" ht="16.5" customHeight="1">
      <c r="B164" s="152"/>
      <c r="C164" s="153"/>
      <c r="D164" s="153"/>
      <c r="E164" s="154" t="s">
        <v>5</v>
      </c>
      <c r="F164" s="252">
        <v>107</v>
      </c>
      <c r="G164" s="253"/>
      <c r="H164" s="253"/>
      <c r="I164" s="253"/>
      <c r="J164" s="153"/>
      <c r="K164" s="155">
        <v>107</v>
      </c>
      <c r="L164" s="153"/>
      <c r="M164" s="153"/>
      <c r="N164" s="153"/>
      <c r="O164" s="153"/>
      <c r="P164" s="153"/>
      <c r="Q164" s="153"/>
      <c r="R164" s="156"/>
      <c r="T164" s="157"/>
      <c r="U164" s="153"/>
      <c r="V164" s="153"/>
      <c r="W164" s="153"/>
      <c r="X164" s="153"/>
      <c r="Y164" s="153"/>
      <c r="Z164" s="153"/>
      <c r="AA164" s="158"/>
    </row>
    <row r="165" spans="2:37" s="1" customFormat="1" ht="25.5" customHeight="1">
      <c r="B165" s="135"/>
      <c r="C165" s="136" t="s">
        <v>132</v>
      </c>
      <c r="D165" s="136" t="s">
        <v>125</v>
      </c>
      <c r="E165" s="137" t="s">
        <v>152</v>
      </c>
      <c r="F165" s="258" t="s">
        <v>153</v>
      </c>
      <c r="G165" s="258"/>
      <c r="H165" s="258"/>
      <c r="I165" s="258"/>
      <c r="J165" s="138" t="s">
        <v>138</v>
      </c>
      <c r="K165" s="139">
        <v>469.36</v>
      </c>
      <c r="L165" s="251">
        <v>0</v>
      </c>
      <c r="M165" s="251"/>
      <c r="N165" s="251">
        <f>ROUND(L165*K165,2)</f>
        <v>0</v>
      </c>
      <c r="O165" s="251"/>
      <c r="P165" s="251"/>
      <c r="Q165" s="251"/>
      <c r="R165" s="140"/>
      <c r="T165" s="141" t="s">
        <v>5</v>
      </c>
      <c r="U165" s="42" t="s">
        <v>37</v>
      </c>
      <c r="V165" s="142">
        <v>0.54</v>
      </c>
      <c r="W165" s="142">
        <f>V165*K165</f>
        <v>253.45440000000002</v>
      </c>
      <c r="X165" s="142">
        <v>2.3230000000000001E-2</v>
      </c>
      <c r="Y165" s="142">
        <f>X165*K165</f>
        <v>10.903232800000001</v>
      </c>
      <c r="Z165" s="142">
        <v>0</v>
      </c>
      <c r="AA165" s="143">
        <f>Z165*K165</f>
        <v>0</v>
      </c>
      <c r="AE165" s="144">
        <f>IF(U165="zákl. přenesená",N165,0)</f>
        <v>0</v>
      </c>
      <c r="AF165" s="144">
        <f>IF(U165="sníž. přenesená",N165,0)</f>
        <v>0</v>
      </c>
      <c r="AG165" s="144">
        <f>IF(U165="nulová",N165,0)</f>
        <v>0</v>
      </c>
      <c r="AH165" s="20" t="s">
        <v>73</v>
      </c>
      <c r="AI165" s="144">
        <f>ROUND(L165*K165,2)</f>
        <v>0</v>
      </c>
      <c r="AJ165" s="20" t="s">
        <v>127</v>
      </c>
      <c r="AK165" s="20" t="s">
        <v>389</v>
      </c>
    </row>
    <row r="166" spans="2:37" s="10" customFormat="1" ht="16.5" customHeight="1">
      <c r="B166" s="145"/>
      <c r="C166" s="146"/>
      <c r="D166" s="146"/>
      <c r="E166" s="147" t="s">
        <v>5</v>
      </c>
      <c r="F166" s="261" t="s">
        <v>154</v>
      </c>
      <c r="G166" s="262"/>
      <c r="H166" s="262"/>
      <c r="I166" s="262"/>
      <c r="J166" s="146"/>
      <c r="K166" s="147" t="s">
        <v>5</v>
      </c>
      <c r="L166" s="146"/>
      <c r="M166" s="146"/>
      <c r="N166" s="146"/>
      <c r="O166" s="146"/>
      <c r="P166" s="146"/>
      <c r="Q166" s="146"/>
      <c r="R166" s="148"/>
      <c r="T166" s="149"/>
      <c r="U166" s="146"/>
      <c r="V166" s="146"/>
      <c r="W166" s="146"/>
      <c r="X166" s="146"/>
      <c r="Y166" s="146"/>
      <c r="Z166" s="146"/>
      <c r="AA166" s="150"/>
    </row>
    <row r="167" spans="2:37" s="10" customFormat="1" ht="16.5" customHeight="1">
      <c r="B167" s="145"/>
      <c r="C167" s="146"/>
      <c r="D167" s="146"/>
      <c r="E167" s="147" t="s">
        <v>5</v>
      </c>
      <c r="F167" s="259" t="s">
        <v>334</v>
      </c>
      <c r="G167" s="260"/>
      <c r="H167" s="260"/>
      <c r="I167" s="260"/>
      <c r="J167" s="146"/>
      <c r="K167" s="147" t="s">
        <v>5</v>
      </c>
      <c r="L167" s="146"/>
      <c r="M167" s="146"/>
      <c r="N167" s="146"/>
      <c r="O167" s="146"/>
      <c r="P167" s="146"/>
      <c r="Q167" s="146"/>
      <c r="R167" s="148"/>
      <c r="T167" s="149"/>
      <c r="U167" s="146"/>
      <c r="V167" s="146"/>
      <c r="W167" s="146"/>
      <c r="X167" s="146"/>
      <c r="Y167" s="146"/>
      <c r="Z167" s="146"/>
      <c r="AA167" s="150"/>
    </row>
    <row r="168" spans="2:37" s="11" customFormat="1" ht="25.5" customHeight="1">
      <c r="B168" s="152"/>
      <c r="C168" s="153"/>
      <c r="D168" s="153"/>
      <c r="E168" s="154" t="s">
        <v>5</v>
      </c>
      <c r="F168" s="252" t="s">
        <v>390</v>
      </c>
      <c r="G168" s="253"/>
      <c r="H168" s="253"/>
      <c r="I168" s="253"/>
      <c r="J168" s="153"/>
      <c r="K168" s="155">
        <v>131.47999999999999</v>
      </c>
      <c r="L168" s="153"/>
      <c r="M168" s="153"/>
      <c r="N168" s="153"/>
      <c r="O168" s="153"/>
      <c r="P168" s="153"/>
      <c r="Q168" s="153"/>
      <c r="R168" s="156"/>
      <c r="T168" s="157"/>
      <c r="U168" s="153"/>
      <c r="V168" s="153"/>
      <c r="W168" s="153"/>
      <c r="X168" s="153"/>
      <c r="Y168" s="153"/>
      <c r="Z168" s="153"/>
      <c r="AA168" s="158"/>
    </row>
    <row r="169" spans="2:37" s="10" customFormat="1" ht="16.5" customHeight="1">
      <c r="B169" s="145"/>
      <c r="C169" s="146"/>
      <c r="D169" s="146"/>
      <c r="E169" s="147" t="s">
        <v>5</v>
      </c>
      <c r="F169" s="259" t="s">
        <v>335</v>
      </c>
      <c r="G169" s="260"/>
      <c r="H169" s="260"/>
      <c r="I169" s="260"/>
      <c r="J169" s="146"/>
      <c r="K169" s="147" t="s">
        <v>5</v>
      </c>
      <c r="L169" s="146"/>
      <c r="M169" s="146"/>
      <c r="N169" s="146"/>
      <c r="O169" s="146"/>
      <c r="P169" s="146"/>
      <c r="Q169" s="146"/>
      <c r="R169" s="148"/>
      <c r="T169" s="149"/>
      <c r="U169" s="146"/>
      <c r="V169" s="146"/>
      <c r="W169" s="146"/>
      <c r="X169" s="146"/>
      <c r="Y169" s="146"/>
      <c r="Z169" s="146"/>
      <c r="AA169" s="150"/>
    </row>
    <row r="170" spans="2:37" s="11" customFormat="1" ht="16.5" customHeight="1">
      <c r="B170" s="152"/>
      <c r="C170" s="153"/>
      <c r="D170" s="153"/>
      <c r="E170" s="154" t="s">
        <v>5</v>
      </c>
      <c r="F170" s="252" t="s">
        <v>391</v>
      </c>
      <c r="G170" s="253"/>
      <c r="H170" s="253"/>
      <c r="I170" s="253"/>
      <c r="J170" s="153"/>
      <c r="K170" s="155">
        <v>17.260000000000002</v>
      </c>
      <c r="L170" s="153"/>
      <c r="M170" s="153"/>
      <c r="N170" s="153"/>
      <c r="O170" s="153"/>
      <c r="P170" s="153"/>
      <c r="Q170" s="153"/>
      <c r="R170" s="156"/>
      <c r="T170" s="157"/>
      <c r="U170" s="153"/>
      <c r="V170" s="153"/>
      <c r="W170" s="153"/>
      <c r="X170" s="153"/>
      <c r="Y170" s="153"/>
      <c r="Z170" s="153"/>
      <c r="AA170" s="158"/>
    </row>
    <row r="171" spans="2:37" s="10" customFormat="1" ht="16.5" customHeight="1">
      <c r="B171" s="145"/>
      <c r="C171" s="146"/>
      <c r="D171" s="146"/>
      <c r="E171" s="147" t="s">
        <v>5</v>
      </c>
      <c r="F171" s="259" t="s">
        <v>333</v>
      </c>
      <c r="G171" s="260"/>
      <c r="H171" s="260"/>
      <c r="I171" s="260"/>
      <c r="J171" s="146"/>
      <c r="K171" s="147" t="s">
        <v>5</v>
      </c>
      <c r="L171" s="146"/>
      <c r="M171" s="146"/>
      <c r="N171" s="146"/>
      <c r="O171" s="146"/>
      <c r="P171" s="146"/>
      <c r="Q171" s="146"/>
      <c r="R171" s="148"/>
      <c r="T171" s="149"/>
      <c r="U171" s="146"/>
      <c r="V171" s="146"/>
      <c r="W171" s="146"/>
      <c r="X171" s="146"/>
      <c r="Y171" s="146"/>
      <c r="Z171" s="146"/>
      <c r="AA171" s="150"/>
    </row>
    <row r="172" spans="2:37" s="11" customFormat="1" ht="25.5" customHeight="1">
      <c r="B172" s="152"/>
      <c r="C172" s="153"/>
      <c r="D172" s="153"/>
      <c r="E172" s="154" t="s">
        <v>5</v>
      </c>
      <c r="F172" s="252" t="s">
        <v>392</v>
      </c>
      <c r="G172" s="253"/>
      <c r="H172" s="253"/>
      <c r="I172" s="253"/>
      <c r="J172" s="153"/>
      <c r="K172" s="155">
        <v>152.63</v>
      </c>
      <c r="L172" s="153"/>
      <c r="M172" s="153"/>
      <c r="N172" s="153"/>
      <c r="O172" s="153"/>
      <c r="P172" s="153"/>
      <c r="Q172" s="153"/>
      <c r="R172" s="156"/>
      <c r="T172" s="157"/>
      <c r="U172" s="153"/>
      <c r="V172" s="153"/>
      <c r="W172" s="153"/>
      <c r="X172" s="153"/>
      <c r="Y172" s="153"/>
      <c r="Z172" s="153"/>
      <c r="AA172" s="158"/>
    </row>
    <row r="173" spans="2:37" s="10" customFormat="1" ht="16.5" customHeight="1">
      <c r="B173" s="145"/>
      <c r="C173" s="146"/>
      <c r="D173" s="146"/>
      <c r="E173" s="147" t="s">
        <v>5</v>
      </c>
      <c r="F173" s="259" t="s">
        <v>332</v>
      </c>
      <c r="G173" s="260"/>
      <c r="H173" s="260"/>
      <c r="I173" s="260"/>
      <c r="J173" s="146"/>
      <c r="K173" s="147" t="s">
        <v>5</v>
      </c>
      <c r="L173" s="146"/>
      <c r="M173" s="146"/>
      <c r="N173" s="146"/>
      <c r="O173" s="146"/>
      <c r="P173" s="146"/>
      <c r="Q173" s="146"/>
      <c r="R173" s="148"/>
      <c r="T173" s="149"/>
      <c r="U173" s="146"/>
      <c r="V173" s="146"/>
      <c r="W173" s="146"/>
      <c r="X173" s="146"/>
      <c r="Y173" s="146"/>
      <c r="Z173" s="146"/>
      <c r="AA173" s="150"/>
    </row>
    <row r="174" spans="2:37" s="11" customFormat="1" ht="25.5" customHeight="1">
      <c r="B174" s="152"/>
      <c r="C174" s="153"/>
      <c r="D174" s="153"/>
      <c r="E174" s="154" t="s">
        <v>5</v>
      </c>
      <c r="F174" s="252" t="s">
        <v>393</v>
      </c>
      <c r="G174" s="253"/>
      <c r="H174" s="253"/>
      <c r="I174" s="253"/>
      <c r="J174" s="153"/>
      <c r="K174" s="155">
        <v>167.99</v>
      </c>
      <c r="L174" s="153"/>
      <c r="M174" s="153"/>
      <c r="N174" s="153"/>
      <c r="O174" s="153"/>
      <c r="P174" s="153"/>
      <c r="Q174" s="153"/>
      <c r="R174" s="156"/>
      <c r="T174" s="157"/>
      <c r="U174" s="153"/>
      <c r="V174" s="153"/>
      <c r="W174" s="153"/>
      <c r="X174" s="153"/>
      <c r="Y174" s="153"/>
      <c r="Z174" s="153"/>
      <c r="AA174" s="158"/>
    </row>
    <row r="175" spans="2:37" s="12" customFormat="1" ht="16.5" customHeight="1">
      <c r="B175" s="160"/>
      <c r="C175" s="161"/>
      <c r="D175" s="161"/>
      <c r="E175" s="162" t="s">
        <v>5</v>
      </c>
      <c r="F175" s="256" t="s">
        <v>128</v>
      </c>
      <c r="G175" s="257"/>
      <c r="H175" s="257"/>
      <c r="I175" s="257"/>
      <c r="J175" s="161"/>
      <c r="K175" s="163">
        <v>469.36</v>
      </c>
      <c r="L175" s="161"/>
      <c r="M175" s="161"/>
      <c r="N175" s="161"/>
      <c r="O175" s="161"/>
      <c r="P175" s="161"/>
      <c r="Q175" s="161"/>
      <c r="R175" s="164"/>
      <c r="T175" s="165"/>
      <c r="U175" s="161"/>
      <c r="V175" s="161"/>
      <c r="W175" s="161"/>
      <c r="X175" s="161"/>
      <c r="Y175" s="161"/>
      <c r="Z175" s="161"/>
      <c r="AA175" s="166"/>
    </row>
    <row r="176" spans="2:37" s="1" customFormat="1" ht="25.5" customHeight="1">
      <c r="B176" s="135"/>
      <c r="C176" s="136" t="s">
        <v>127</v>
      </c>
      <c r="D176" s="136" t="s">
        <v>125</v>
      </c>
      <c r="E176" s="137" t="s">
        <v>156</v>
      </c>
      <c r="F176" s="258" t="s">
        <v>157</v>
      </c>
      <c r="G176" s="258"/>
      <c r="H176" s="258"/>
      <c r="I176" s="258"/>
      <c r="J176" s="138" t="s">
        <v>126</v>
      </c>
      <c r="K176" s="139">
        <v>221.29300000000001</v>
      </c>
      <c r="L176" s="251">
        <v>0</v>
      </c>
      <c r="M176" s="251"/>
      <c r="N176" s="251">
        <f>ROUND(L176*K176,2)</f>
        <v>0</v>
      </c>
      <c r="O176" s="251"/>
      <c r="P176" s="251"/>
      <c r="Q176" s="251"/>
      <c r="R176" s="140"/>
      <c r="T176" s="141" t="s">
        <v>5</v>
      </c>
      <c r="U176" s="42" t="s">
        <v>37</v>
      </c>
      <c r="V176" s="142">
        <v>0.06</v>
      </c>
      <c r="W176" s="142">
        <f>V176*K176</f>
        <v>13.27758</v>
      </c>
      <c r="X176" s="142">
        <v>0</v>
      </c>
      <c r="Y176" s="142">
        <f>X176*K176</f>
        <v>0</v>
      </c>
      <c r="Z176" s="142">
        <v>0</v>
      </c>
      <c r="AA176" s="143">
        <f>Z176*K176</f>
        <v>0</v>
      </c>
      <c r="AE176" s="144">
        <f>IF(U176="zákl. přenesená",N176,0)</f>
        <v>0</v>
      </c>
      <c r="AF176" s="144">
        <f>IF(U176="sníž. přenesená",N176,0)</f>
        <v>0</v>
      </c>
      <c r="AG176" s="144">
        <f>IF(U176="nulová",N176,0)</f>
        <v>0</v>
      </c>
      <c r="AH176" s="20" t="s">
        <v>73</v>
      </c>
      <c r="AI176" s="144">
        <f>ROUND(L176*K176,2)</f>
        <v>0</v>
      </c>
      <c r="AJ176" s="20" t="s">
        <v>127</v>
      </c>
      <c r="AK176" s="20" t="s">
        <v>394</v>
      </c>
    </row>
    <row r="177" spans="2:37" s="10" customFormat="1" ht="16.5" customHeight="1">
      <c r="B177" s="145"/>
      <c r="C177" s="146"/>
      <c r="D177" s="146"/>
      <c r="E177" s="147" t="s">
        <v>5</v>
      </c>
      <c r="F177" s="261" t="s">
        <v>158</v>
      </c>
      <c r="G177" s="262"/>
      <c r="H177" s="262"/>
      <c r="I177" s="262"/>
      <c r="J177" s="146"/>
      <c r="K177" s="147" t="s">
        <v>5</v>
      </c>
      <c r="L177" s="146"/>
      <c r="M177" s="146"/>
      <c r="N177" s="146"/>
      <c r="O177" s="146"/>
      <c r="P177" s="146"/>
      <c r="Q177" s="146"/>
      <c r="R177" s="148"/>
      <c r="T177" s="149"/>
      <c r="U177" s="146"/>
      <c r="V177" s="146"/>
      <c r="W177" s="146"/>
      <c r="X177" s="146"/>
      <c r="Y177" s="146"/>
      <c r="Z177" s="146"/>
      <c r="AA177" s="150"/>
    </row>
    <row r="178" spans="2:37" s="10" customFormat="1" ht="16.5" customHeight="1">
      <c r="B178" s="145"/>
      <c r="C178" s="146"/>
      <c r="D178" s="146"/>
      <c r="E178" s="147" t="s">
        <v>5</v>
      </c>
      <c r="F178" s="259" t="s">
        <v>334</v>
      </c>
      <c r="G178" s="260"/>
      <c r="H178" s="260"/>
      <c r="I178" s="260"/>
      <c r="J178" s="146"/>
      <c r="K178" s="147" t="s">
        <v>5</v>
      </c>
      <c r="L178" s="146"/>
      <c r="M178" s="146"/>
      <c r="N178" s="146"/>
      <c r="O178" s="146"/>
      <c r="P178" s="146"/>
      <c r="Q178" s="146"/>
      <c r="R178" s="148"/>
      <c r="T178" s="149"/>
      <c r="U178" s="146"/>
      <c r="V178" s="146"/>
      <c r="W178" s="146"/>
      <c r="X178" s="146"/>
      <c r="Y178" s="146"/>
      <c r="Z178" s="146"/>
      <c r="AA178" s="150"/>
    </row>
    <row r="179" spans="2:37" s="11" customFormat="1" ht="25.5" customHeight="1">
      <c r="B179" s="152"/>
      <c r="C179" s="153"/>
      <c r="D179" s="153"/>
      <c r="E179" s="154" t="s">
        <v>5</v>
      </c>
      <c r="F179" s="252" t="s">
        <v>395</v>
      </c>
      <c r="G179" s="253"/>
      <c r="H179" s="253"/>
      <c r="I179" s="253"/>
      <c r="J179" s="153"/>
      <c r="K179" s="155">
        <v>64.314999999999998</v>
      </c>
      <c r="L179" s="153"/>
      <c r="M179" s="153"/>
      <c r="N179" s="153"/>
      <c r="O179" s="153"/>
      <c r="P179" s="153"/>
      <c r="Q179" s="153"/>
      <c r="R179" s="156"/>
      <c r="T179" s="157"/>
      <c r="U179" s="153"/>
      <c r="V179" s="153"/>
      <c r="W179" s="153"/>
      <c r="X179" s="153"/>
      <c r="Y179" s="153"/>
      <c r="Z179" s="153"/>
      <c r="AA179" s="158"/>
    </row>
    <row r="180" spans="2:37" s="10" customFormat="1" ht="16.5" customHeight="1">
      <c r="B180" s="145"/>
      <c r="C180" s="146"/>
      <c r="D180" s="146"/>
      <c r="E180" s="147" t="s">
        <v>5</v>
      </c>
      <c r="F180" s="259" t="s">
        <v>335</v>
      </c>
      <c r="G180" s="260"/>
      <c r="H180" s="260"/>
      <c r="I180" s="260"/>
      <c r="J180" s="146"/>
      <c r="K180" s="147" t="s">
        <v>5</v>
      </c>
      <c r="L180" s="146"/>
      <c r="M180" s="146"/>
      <c r="N180" s="146"/>
      <c r="O180" s="146"/>
      <c r="P180" s="146"/>
      <c r="Q180" s="146"/>
      <c r="R180" s="148"/>
      <c r="T180" s="149"/>
      <c r="U180" s="146"/>
      <c r="V180" s="146"/>
      <c r="W180" s="146"/>
      <c r="X180" s="146"/>
      <c r="Y180" s="146"/>
      <c r="Z180" s="146"/>
      <c r="AA180" s="150"/>
    </row>
    <row r="181" spans="2:37" s="11" customFormat="1" ht="16.5" customHeight="1">
      <c r="B181" s="152"/>
      <c r="C181" s="153"/>
      <c r="D181" s="153"/>
      <c r="E181" s="154" t="s">
        <v>5</v>
      </c>
      <c r="F181" s="252" t="s">
        <v>396</v>
      </c>
      <c r="G181" s="253"/>
      <c r="H181" s="253"/>
      <c r="I181" s="253"/>
      <c r="J181" s="153"/>
      <c r="K181" s="155">
        <v>7.1849999999999996</v>
      </c>
      <c r="L181" s="153"/>
      <c r="M181" s="153"/>
      <c r="N181" s="153"/>
      <c r="O181" s="153"/>
      <c r="P181" s="153"/>
      <c r="Q181" s="153"/>
      <c r="R181" s="156"/>
      <c r="T181" s="157"/>
      <c r="U181" s="153"/>
      <c r="V181" s="153"/>
      <c r="W181" s="153"/>
      <c r="X181" s="153"/>
      <c r="Y181" s="153"/>
      <c r="Z181" s="153"/>
      <c r="AA181" s="158"/>
    </row>
    <row r="182" spans="2:37" s="10" customFormat="1" ht="16.5" customHeight="1">
      <c r="B182" s="145"/>
      <c r="C182" s="146"/>
      <c r="D182" s="146"/>
      <c r="E182" s="147" t="s">
        <v>5</v>
      </c>
      <c r="F182" s="259" t="s">
        <v>333</v>
      </c>
      <c r="G182" s="260"/>
      <c r="H182" s="260"/>
      <c r="I182" s="260"/>
      <c r="J182" s="146"/>
      <c r="K182" s="147" t="s">
        <v>5</v>
      </c>
      <c r="L182" s="146"/>
      <c r="M182" s="146"/>
      <c r="N182" s="146"/>
      <c r="O182" s="146"/>
      <c r="P182" s="146"/>
      <c r="Q182" s="146"/>
      <c r="R182" s="148"/>
      <c r="T182" s="149"/>
      <c r="U182" s="146"/>
      <c r="V182" s="146"/>
      <c r="W182" s="146"/>
      <c r="X182" s="146"/>
      <c r="Y182" s="146"/>
      <c r="Z182" s="146"/>
      <c r="AA182" s="150"/>
    </row>
    <row r="183" spans="2:37" s="11" customFormat="1" ht="16.5" customHeight="1">
      <c r="B183" s="152"/>
      <c r="C183" s="153"/>
      <c r="D183" s="153"/>
      <c r="E183" s="154" t="s">
        <v>5</v>
      </c>
      <c r="F183" s="252" t="s">
        <v>397</v>
      </c>
      <c r="G183" s="253"/>
      <c r="H183" s="253"/>
      <c r="I183" s="253"/>
      <c r="J183" s="153"/>
      <c r="K183" s="155">
        <v>71.78</v>
      </c>
      <c r="L183" s="153"/>
      <c r="M183" s="153"/>
      <c r="N183" s="153"/>
      <c r="O183" s="153"/>
      <c r="P183" s="153"/>
      <c r="Q183" s="153"/>
      <c r="R183" s="156"/>
      <c r="T183" s="157"/>
      <c r="U183" s="153"/>
      <c r="V183" s="153"/>
      <c r="W183" s="153"/>
      <c r="X183" s="153"/>
      <c r="Y183" s="153"/>
      <c r="Z183" s="153"/>
      <c r="AA183" s="158"/>
    </row>
    <row r="184" spans="2:37" s="10" customFormat="1" ht="16.5" customHeight="1">
      <c r="B184" s="145"/>
      <c r="C184" s="146"/>
      <c r="D184" s="146"/>
      <c r="E184" s="147" t="s">
        <v>5</v>
      </c>
      <c r="F184" s="259" t="s">
        <v>332</v>
      </c>
      <c r="G184" s="260"/>
      <c r="H184" s="260"/>
      <c r="I184" s="260"/>
      <c r="J184" s="146"/>
      <c r="K184" s="147" t="s">
        <v>5</v>
      </c>
      <c r="L184" s="146"/>
      <c r="M184" s="146"/>
      <c r="N184" s="146"/>
      <c r="O184" s="146"/>
      <c r="P184" s="146"/>
      <c r="Q184" s="146"/>
      <c r="R184" s="148"/>
      <c r="T184" s="149"/>
      <c r="U184" s="146"/>
      <c r="V184" s="146"/>
      <c r="W184" s="146"/>
      <c r="X184" s="146"/>
      <c r="Y184" s="146"/>
      <c r="Z184" s="146"/>
      <c r="AA184" s="150"/>
    </row>
    <row r="185" spans="2:37" s="11" customFormat="1" ht="16.5" customHeight="1">
      <c r="B185" s="152"/>
      <c r="C185" s="153"/>
      <c r="D185" s="153"/>
      <c r="E185" s="154" t="s">
        <v>5</v>
      </c>
      <c r="F185" s="252" t="s">
        <v>398</v>
      </c>
      <c r="G185" s="253"/>
      <c r="H185" s="253"/>
      <c r="I185" s="253"/>
      <c r="J185" s="153"/>
      <c r="K185" s="155">
        <v>78.013000000000005</v>
      </c>
      <c r="L185" s="153"/>
      <c r="M185" s="153"/>
      <c r="N185" s="153"/>
      <c r="O185" s="153"/>
      <c r="P185" s="153"/>
      <c r="Q185" s="153"/>
      <c r="R185" s="156"/>
      <c r="T185" s="157"/>
      <c r="U185" s="153"/>
      <c r="V185" s="153"/>
      <c r="W185" s="153"/>
      <c r="X185" s="153"/>
      <c r="Y185" s="153"/>
      <c r="Z185" s="153"/>
      <c r="AA185" s="158"/>
    </row>
    <row r="186" spans="2:37" s="12" customFormat="1" ht="16.5" customHeight="1">
      <c r="B186" s="160"/>
      <c r="C186" s="161"/>
      <c r="D186" s="161"/>
      <c r="E186" s="162" t="s">
        <v>5</v>
      </c>
      <c r="F186" s="256" t="s">
        <v>128</v>
      </c>
      <c r="G186" s="257"/>
      <c r="H186" s="257"/>
      <c r="I186" s="257"/>
      <c r="J186" s="161"/>
      <c r="K186" s="163">
        <v>221.29300000000001</v>
      </c>
      <c r="L186" s="161"/>
      <c r="M186" s="161"/>
      <c r="N186" s="161"/>
      <c r="O186" s="161"/>
      <c r="P186" s="161"/>
      <c r="Q186" s="161"/>
      <c r="R186" s="164"/>
      <c r="T186" s="165"/>
      <c r="U186" s="161"/>
      <c r="V186" s="161"/>
      <c r="W186" s="161"/>
      <c r="X186" s="161"/>
      <c r="Y186" s="161"/>
      <c r="Z186" s="161"/>
      <c r="AA186" s="166"/>
    </row>
    <row r="187" spans="2:37" s="9" customFormat="1" ht="29.85" customHeight="1">
      <c r="B187" s="125"/>
      <c r="C187" s="126"/>
      <c r="D187" s="134" t="s">
        <v>102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263">
        <f>N188+N199+N201+N202+N203+N205+N206+N207+N208</f>
        <v>0</v>
      </c>
      <c r="O187" s="264"/>
      <c r="P187" s="264"/>
      <c r="Q187" s="264"/>
      <c r="R187" s="128"/>
      <c r="T187" s="129"/>
      <c r="U187" s="126"/>
      <c r="V187" s="126"/>
      <c r="W187" s="130">
        <f>SUM(W188:W218)</f>
        <v>1081.2677920000001</v>
      </c>
      <c r="X187" s="126"/>
      <c r="Y187" s="130">
        <f>SUM(Y188:Y218)</f>
        <v>0</v>
      </c>
      <c r="Z187" s="126"/>
      <c r="AA187" s="131">
        <f>SUM(AA188:AA218)</f>
        <v>104.25483199999999</v>
      </c>
      <c r="AI187" s="133">
        <f>SUM(AI188:AI218)</f>
        <v>0</v>
      </c>
    </row>
    <row r="188" spans="2:37" s="1" customFormat="1" ht="38.25" customHeight="1">
      <c r="B188" s="135"/>
      <c r="C188" s="136" t="s">
        <v>140</v>
      </c>
      <c r="D188" s="136" t="s">
        <v>125</v>
      </c>
      <c r="E188" s="137" t="s">
        <v>161</v>
      </c>
      <c r="F188" s="258" t="s">
        <v>162</v>
      </c>
      <c r="G188" s="258"/>
      <c r="H188" s="258"/>
      <c r="I188" s="258"/>
      <c r="J188" s="138" t="s">
        <v>126</v>
      </c>
      <c r="K188" s="139">
        <f>K198</f>
        <v>1670.3399999999997</v>
      </c>
      <c r="L188" s="251">
        <v>0</v>
      </c>
      <c r="M188" s="251"/>
      <c r="N188" s="251">
        <f>ROUND(L188*K188,2)</f>
        <v>0</v>
      </c>
      <c r="O188" s="251"/>
      <c r="P188" s="251"/>
      <c r="Q188" s="251"/>
      <c r="R188" s="140"/>
      <c r="T188" s="141" t="s">
        <v>5</v>
      </c>
      <c r="U188" s="42" t="s">
        <v>37</v>
      </c>
      <c r="V188" s="142">
        <v>0.16</v>
      </c>
      <c r="W188" s="142">
        <f>V188*K188</f>
        <v>267.25439999999998</v>
      </c>
      <c r="X188" s="142">
        <v>0</v>
      </c>
      <c r="Y188" s="142">
        <f>X188*K188</f>
        <v>0</v>
      </c>
      <c r="Z188" s="142">
        <v>0</v>
      </c>
      <c r="AA188" s="143">
        <f>Z188*K188</f>
        <v>0</v>
      </c>
      <c r="AE188" s="144">
        <f>IF(U188="zákl. přenesená",N188,0)</f>
        <v>0</v>
      </c>
      <c r="AF188" s="144">
        <f>IF(U188="sníž. přenesená",N188,0)</f>
        <v>0</v>
      </c>
      <c r="AG188" s="144">
        <f>IF(U188="nulová",N188,0)</f>
        <v>0</v>
      </c>
      <c r="AH188" s="20" t="s">
        <v>73</v>
      </c>
      <c r="AI188" s="144">
        <f>ROUND(L188*K188,2)</f>
        <v>0</v>
      </c>
      <c r="AJ188" s="20" t="s">
        <v>163</v>
      </c>
      <c r="AK188" s="20" t="s">
        <v>399</v>
      </c>
    </row>
    <row r="189" spans="2:37" s="10" customFormat="1" ht="16.5" customHeight="1">
      <c r="B189" s="145"/>
      <c r="C189" s="146"/>
      <c r="D189" s="146"/>
      <c r="E189" s="147" t="s">
        <v>5</v>
      </c>
      <c r="F189" s="261" t="s">
        <v>400</v>
      </c>
      <c r="G189" s="262"/>
      <c r="H189" s="262"/>
      <c r="I189" s="262"/>
      <c r="J189" s="146"/>
      <c r="K189" s="147" t="s">
        <v>5</v>
      </c>
      <c r="L189" s="146"/>
      <c r="M189" s="146"/>
      <c r="N189" s="146"/>
      <c r="O189" s="146"/>
      <c r="P189" s="146"/>
      <c r="Q189" s="146"/>
      <c r="R189" s="148"/>
      <c r="T189" s="149"/>
      <c r="U189" s="146"/>
      <c r="V189" s="146"/>
      <c r="W189" s="146"/>
      <c r="X189" s="146"/>
      <c r="Y189" s="146"/>
      <c r="Z189" s="146"/>
      <c r="AA189" s="150"/>
    </row>
    <row r="190" spans="2:37" s="10" customFormat="1" ht="16.5" customHeight="1">
      <c r="B190" s="145"/>
      <c r="C190" s="146"/>
      <c r="D190" s="146"/>
      <c r="E190" s="147" t="s">
        <v>5</v>
      </c>
      <c r="F190" s="259" t="s">
        <v>334</v>
      </c>
      <c r="G190" s="260"/>
      <c r="H190" s="260"/>
      <c r="I190" s="260"/>
      <c r="J190" s="146"/>
      <c r="K190" s="147" t="s">
        <v>5</v>
      </c>
      <c r="L190" s="146"/>
      <c r="M190" s="146"/>
      <c r="N190" s="146"/>
      <c r="O190" s="146"/>
      <c r="P190" s="146"/>
      <c r="Q190" s="146"/>
      <c r="R190" s="148"/>
      <c r="T190" s="149"/>
      <c r="U190" s="146"/>
      <c r="V190" s="146"/>
      <c r="W190" s="146"/>
      <c r="X190" s="146"/>
      <c r="Y190" s="146"/>
      <c r="Z190" s="146"/>
      <c r="AA190" s="150"/>
    </row>
    <row r="191" spans="2:37" s="11" customFormat="1" ht="16.5" customHeight="1">
      <c r="B191" s="152"/>
      <c r="C191" s="153"/>
      <c r="D191" s="153"/>
      <c r="E191" s="154" t="s">
        <v>5</v>
      </c>
      <c r="F191" s="252" t="s">
        <v>447</v>
      </c>
      <c r="G191" s="253"/>
      <c r="H191" s="253"/>
      <c r="I191" s="253"/>
      <c r="J191" s="153"/>
      <c r="K191" s="155">
        <f>33.51*11.2+3.65*11.2*2</f>
        <v>457.07199999999995</v>
      </c>
      <c r="L191" s="153"/>
      <c r="M191" s="153"/>
      <c r="N191" s="153"/>
      <c r="O191" s="153"/>
      <c r="P191" s="153"/>
      <c r="Q191" s="153"/>
      <c r="R191" s="156"/>
      <c r="T191" s="157"/>
      <c r="U191" s="153"/>
      <c r="V191" s="153"/>
      <c r="W191" s="153"/>
      <c r="X191" s="153"/>
      <c r="Y191" s="153"/>
      <c r="Z191" s="153"/>
      <c r="AA191" s="158"/>
    </row>
    <row r="192" spans="2:37" s="10" customFormat="1" ht="16.5" customHeight="1">
      <c r="B192" s="145"/>
      <c r="C192" s="146"/>
      <c r="D192" s="146"/>
      <c r="E192" s="147" t="s">
        <v>5</v>
      </c>
      <c r="F192" s="259" t="s">
        <v>335</v>
      </c>
      <c r="G192" s="260"/>
      <c r="H192" s="260"/>
      <c r="I192" s="260"/>
      <c r="J192" s="146"/>
      <c r="K192" s="147" t="s">
        <v>5</v>
      </c>
      <c r="L192" s="146"/>
      <c r="M192" s="146"/>
      <c r="N192" s="146"/>
      <c r="O192" s="146"/>
      <c r="P192" s="146"/>
      <c r="Q192" s="146"/>
      <c r="R192" s="148"/>
      <c r="T192" s="149"/>
      <c r="U192" s="146"/>
      <c r="V192" s="146"/>
      <c r="W192" s="146"/>
      <c r="X192" s="146"/>
      <c r="Y192" s="146"/>
      <c r="Z192" s="146"/>
      <c r="AA192" s="150"/>
    </row>
    <row r="193" spans="2:37" s="11" customFormat="1" ht="16.5" customHeight="1">
      <c r="B193" s="152"/>
      <c r="C193" s="153"/>
      <c r="D193" s="153"/>
      <c r="E193" s="154" t="s">
        <v>5</v>
      </c>
      <c r="F193" s="252" t="s">
        <v>448</v>
      </c>
      <c r="G193" s="253"/>
      <c r="H193" s="253"/>
      <c r="I193" s="253"/>
      <c r="J193" s="153"/>
      <c r="K193" s="155">
        <f>17.85*11.2</f>
        <v>199.92000000000002</v>
      </c>
      <c r="L193" s="153"/>
      <c r="M193" s="153"/>
      <c r="N193" s="153"/>
      <c r="O193" s="153"/>
      <c r="P193" s="153"/>
      <c r="Q193" s="153"/>
      <c r="R193" s="156"/>
      <c r="T193" s="157"/>
      <c r="U193" s="153"/>
      <c r="V193" s="153"/>
      <c r="W193" s="153"/>
      <c r="X193" s="153"/>
      <c r="Y193" s="153"/>
      <c r="Z193" s="153"/>
      <c r="AA193" s="158"/>
    </row>
    <row r="194" spans="2:37" s="10" customFormat="1" ht="16.5" customHeight="1">
      <c r="B194" s="145"/>
      <c r="C194" s="146"/>
      <c r="D194" s="146"/>
      <c r="E194" s="147" t="s">
        <v>5</v>
      </c>
      <c r="F194" s="259" t="s">
        <v>333</v>
      </c>
      <c r="G194" s="260"/>
      <c r="H194" s="260"/>
      <c r="I194" s="260"/>
      <c r="J194" s="146"/>
      <c r="K194" s="147" t="s">
        <v>5</v>
      </c>
      <c r="L194" s="146"/>
      <c r="M194" s="146"/>
      <c r="N194" s="146"/>
      <c r="O194" s="146"/>
      <c r="P194" s="146"/>
      <c r="Q194" s="146"/>
      <c r="R194" s="148"/>
      <c r="T194" s="149"/>
      <c r="U194" s="146"/>
      <c r="V194" s="146"/>
      <c r="W194" s="146"/>
      <c r="X194" s="146"/>
      <c r="Y194" s="146"/>
      <c r="Z194" s="146"/>
      <c r="AA194" s="150"/>
    </row>
    <row r="195" spans="2:37" s="11" customFormat="1" ht="16.5" customHeight="1">
      <c r="B195" s="152"/>
      <c r="C195" s="153"/>
      <c r="D195" s="153"/>
      <c r="E195" s="154" t="s">
        <v>5</v>
      </c>
      <c r="F195" s="252" t="s">
        <v>449</v>
      </c>
      <c r="G195" s="253"/>
      <c r="H195" s="253"/>
      <c r="I195" s="253"/>
      <c r="J195" s="153"/>
      <c r="K195" s="155">
        <f>33.51*11.2+2.2*11.2+9.68*10.85</f>
        <v>504.9799999999999</v>
      </c>
      <c r="L195" s="153"/>
      <c r="M195" s="153"/>
      <c r="N195" s="153"/>
      <c r="O195" s="153"/>
      <c r="P195" s="153"/>
      <c r="Q195" s="153"/>
      <c r="R195" s="156"/>
      <c r="T195" s="157"/>
      <c r="U195" s="153"/>
      <c r="V195" s="153"/>
      <c r="W195" s="153"/>
      <c r="X195" s="153"/>
      <c r="Y195" s="153"/>
      <c r="Z195" s="153"/>
      <c r="AA195" s="158"/>
    </row>
    <row r="196" spans="2:37" s="10" customFormat="1" ht="16.5" customHeight="1">
      <c r="B196" s="145"/>
      <c r="C196" s="146"/>
      <c r="D196" s="146"/>
      <c r="E196" s="147" t="s">
        <v>5</v>
      </c>
      <c r="F196" s="259" t="s">
        <v>332</v>
      </c>
      <c r="G196" s="260"/>
      <c r="H196" s="260"/>
      <c r="I196" s="260"/>
      <c r="J196" s="146"/>
      <c r="K196" s="147" t="s">
        <v>5</v>
      </c>
      <c r="L196" s="146"/>
      <c r="M196" s="146"/>
      <c r="N196" s="146"/>
      <c r="O196" s="146"/>
      <c r="P196" s="146"/>
      <c r="Q196" s="146"/>
      <c r="R196" s="148"/>
      <c r="T196" s="149"/>
      <c r="U196" s="146"/>
      <c r="V196" s="146"/>
      <c r="W196" s="146"/>
      <c r="X196" s="146"/>
      <c r="Y196" s="146"/>
      <c r="Z196" s="146"/>
      <c r="AA196" s="150"/>
    </row>
    <row r="197" spans="2:37" s="11" customFormat="1" ht="16.5" customHeight="1">
      <c r="B197" s="152"/>
      <c r="C197" s="153"/>
      <c r="D197" s="153"/>
      <c r="E197" s="154" t="s">
        <v>5</v>
      </c>
      <c r="F197" s="252" t="s">
        <v>450</v>
      </c>
      <c r="G197" s="253"/>
      <c r="H197" s="253"/>
      <c r="I197" s="253"/>
      <c r="J197" s="153"/>
      <c r="K197" s="155">
        <f>33.51*11.2+2.2*11.2+9.68*11.2</f>
        <v>508.36799999999994</v>
      </c>
      <c r="L197" s="153"/>
      <c r="M197" s="153"/>
      <c r="N197" s="153"/>
      <c r="O197" s="153"/>
      <c r="P197" s="153"/>
      <c r="Q197" s="153"/>
      <c r="R197" s="156"/>
      <c r="T197" s="157"/>
      <c r="U197" s="153"/>
      <c r="V197" s="153"/>
      <c r="W197" s="153"/>
      <c r="X197" s="153"/>
      <c r="Y197" s="153"/>
      <c r="Z197" s="153"/>
      <c r="AA197" s="158"/>
    </row>
    <row r="198" spans="2:37" s="12" customFormat="1" ht="16.5" customHeight="1">
      <c r="B198" s="160"/>
      <c r="C198" s="161"/>
      <c r="D198" s="161"/>
      <c r="E198" s="162" t="s">
        <v>5</v>
      </c>
      <c r="F198" s="256" t="s">
        <v>128</v>
      </c>
      <c r="G198" s="257"/>
      <c r="H198" s="257"/>
      <c r="I198" s="257"/>
      <c r="J198" s="161"/>
      <c r="K198" s="163">
        <f>K197+K195+K193+K191</f>
        <v>1670.3399999999997</v>
      </c>
      <c r="L198" s="161"/>
      <c r="M198" s="161"/>
      <c r="N198" s="161"/>
      <c r="O198" s="161"/>
      <c r="P198" s="161"/>
      <c r="Q198" s="161"/>
      <c r="R198" s="164"/>
      <c r="T198" s="165"/>
      <c r="U198" s="161"/>
      <c r="V198" s="161"/>
      <c r="W198" s="161"/>
      <c r="X198" s="161"/>
      <c r="Y198" s="161"/>
      <c r="Z198" s="161"/>
      <c r="AA198" s="166"/>
    </row>
    <row r="199" spans="2:37" s="1" customFormat="1" ht="38.25" customHeight="1">
      <c r="B199" s="135"/>
      <c r="C199" s="136" t="s">
        <v>141</v>
      </c>
      <c r="D199" s="136" t="s">
        <v>125</v>
      </c>
      <c r="E199" s="137" t="s">
        <v>165</v>
      </c>
      <c r="F199" s="258" t="s">
        <v>166</v>
      </c>
      <c r="G199" s="258"/>
      <c r="H199" s="258"/>
      <c r="I199" s="258"/>
      <c r="J199" s="138" t="s">
        <v>126</v>
      </c>
      <c r="K199" s="139">
        <f>K188*90</f>
        <v>150330.59999999998</v>
      </c>
      <c r="L199" s="251">
        <v>0</v>
      </c>
      <c r="M199" s="251"/>
      <c r="N199" s="251">
        <f>ROUND(L199*K199,2)</f>
        <v>0</v>
      </c>
      <c r="O199" s="251"/>
      <c r="P199" s="251"/>
      <c r="Q199" s="251"/>
      <c r="R199" s="140"/>
      <c r="T199" s="141" t="s">
        <v>5</v>
      </c>
      <c r="U199" s="42" t="s">
        <v>37</v>
      </c>
      <c r="V199" s="142">
        <v>0</v>
      </c>
      <c r="W199" s="142">
        <f>V199*K199</f>
        <v>0</v>
      </c>
      <c r="X199" s="142">
        <v>0</v>
      </c>
      <c r="Y199" s="142">
        <f>X199*K199</f>
        <v>0</v>
      </c>
      <c r="Z199" s="142">
        <v>0</v>
      </c>
      <c r="AA199" s="143">
        <f>Z199*K199</f>
        <v>0</v>
      </c>
      <c r="AE199" s="144">
        <f>IF(U199="zákl. přenesená",N199,0)</f>
        <v>0</v>
      </c>
      <c r="AF199" s="144">
        <f>IF(U199="sníž. přenesená",N199,0)</f>
        <v>0</v>
      </c>
      <c r="AG199" s="144">
        <f>IF(U199="nulová",N199,0)</f>
        <v>0</v>
      </c>
      <c r="AH199" s="20" t="s">
        <v>73</v>
      </c>
      <c r="AI199" s="144">
        <f>ROUND(L199*K199,2)</f>
        <v>0</v>
      </c>
      <c r="AJ199" s="20" t="s">
        <v>127</v>
      </c>
      <c r="AK199" s="20" t="s">
        <v>401</v>
      </c>
    </row>
    <row r="200" spans="2:37" s="11" customFormat="1" ht="16.5" customHeight="1">
      <c r="B200" s="152"/>
      <c r="C200" s="153"/>
      <c r="D200" s="153"/>
      <c r="E200" s="154" t="s">
        <v>5</v>
      </c>
      <c r="F200" s="254" t="s">
        <v>451</v>
      </c>
      <c r="G200" s="255"/>
      <c r="H200" s="255"/>
      <c r="I200" s="255"/>
      <c r="J200" s="153"/>
      <c r="K200" s="155">
        <f>1670.34*90</f>
        <v>150330.6</v>
      </c>
      <c r="L200" s="153"/>
      <c r="M200" s="153"/>
      <c r="N200" s="153"/>
      <c r="O200" s="153"/>
      <c r="P200" s="153"/>
      <c r="Q200" s="153"/>
      <c r="R200" s="156"/>
      <c r="T200" s="157"/>
      <c r="U200" s="153"/>
      <c r="V200" s="153"/>
      <c r="W200" s="153"/>
      <c r="X200" s="153"/>
      <c r="Y200" s="153"/>
      <c r="Z200" s="153"/>
      <c r="AA200" s="158"/>
    </row>
    <row r="201" spans="2:37" s="1" customFormat="1" ht="38.25" customHeight="1">
      <c r="B201" s="135"/>
      <c r="C201" s="136" t="s">
        <v>145</v>
      </c>
      <c r="D201" s="136" t="s">
        <v>125</v>
      </c>
      <c r="E201" s="137" t="s">
        <v>167</v>
      </c>
      <c r="F201" s="258" t="s">
        <v>168</v>
      </c>
      <c r="G201" s="258"/>
      <c r="H201" s="258"/>
      <c r="I201" s="258"/>
      <c r="J201" s="138" t="s">
        <v>126</v>
      </c>
      <c r="K201" s="139">
        <f>K198</f>
        <v>1670.3399999999997</v>
      </c>
      <c r="L201" s="251">
        <v>0</v>
      </c>
      <c r="M201" s="251"/>
      <c r="N201" s="251">
        <f>ROUND(L201*K201,2)</f>
        <v>0</v>
      </c>
      <c r="O201" s="251"/>
      <c r="P201" s="251"/>
      <c r="Q201" s="251"/>
      <c r="R201" s="140"/>
      <c r="T201" s="141" t="s">
        <v>5</v>
      </c>
      <c r="U201" s="42" t="s">
        <v>37</v>
      </c>
      <c r="V201" s="142">
        <v>0.1</v>
      </c>
      <c r="W201" s="142">
        <f>V201*K201</f>
        <v>167.03399999999999</v>
      </c>
      <c r="X201" s="142">
        <v>0</v>
      </c>
      <c r="Y201" s="142">
        <f>X201*K201</f>
        <v>0</v>
      </c>
      <c r="Z201" s="142">
        <v>0</v>
      </c>
      <c r="AA201" s="143">
        <f>Z201*K201</f>
        <v>0</v>
      </c>
      <c r="AE201" s="144">
        <f>IF(U201="zákl. přenesená",N201,0)</f>
        <v>0</v>
      </c>
      <c r="AF201" s="144">
        <f>IF(U201="sníž. přenesená",N201,0)</f>
        <v>0</v>
      </c>
      <c r="AG201" s="144">
        <f>IF(U201="nulová",N201,0)</f>
        <v>0</v>
      </c>
      <c r="AH201" s="20" t="s">
        <v>73</v>
      </c>
      <c r="AI201" s="144">
        <f>ROUND(L201*K201,2)</f>
        <v>0</v>
      </c>
      <c r="AJ201" s="20" t="s">
        <v>127</v>
      </c>
      <c r="AK201" s="20" t="s">
        <v>402</v>
      </c>
    </row>
    <row r="202" spans="2:37" s="1" customFormat="1" ht="25.5" customHeight="1">
      <c r="B202" s="135"/>
      <c r="C202" s="136" t="s">
        <v>149</v>
      </c>
      <c r="D202" s="136" t="s">
        <v>125</v>
      </c>
      <c r="E202" s="137" t="s">
        <v>169</v>
      </c>
      <c r="F202" s="258" t="s">
        <v>170</v>
      </c>
      <c r="G202" s="258"/>
      <c r="H202" s="258"/>
      <c r="I202" s="258"/>
      <c r="J202" s="138" t="s">
        <v>126</v>
      </c>
      <c r="K202" s="139">
        <f>K198</f>
        <v>1670.3399999999997</v>
      </c>
      <c r="L202" s="251">
        <v>0</v>
      </c>
      <c r="M202" s="251"/>
      <c r="N202" s="251">
        <f>ROUND(L202*K202,2)</f>
        <v>0</v>
      </c>
      <c r="O202" s="251"/>
      <c r="P202" s="251"/>
      <c r="Q202" s="251"/>
      <c r="R202" s="140"/>
      <c r="T202" s="141" t="s">
        <v>5</v>
      </c>
      <c r="U202" s="42" t="s">
        <v>37</v>
      </c>
      <c r="V202" s="142">
        <v>4.9000000000000002E-2</v>
      </c>
      <c r="W202" s="142">
        <f>V202*K202</f>
        <v>81.846659999999986</v>
      </c>
      <c r="X202" s="142">
        <v>0</v>
      </c>
      <c r="Y202" s="142">
        <f>X202*K202</f>
        <v>0</v>
      </c>
      <c r="Z202" s="142">
        <v>0</v>
      </c>
      <c r="AA202" s="143">
        <f>Z202*K202</f>
        <v>0</v>
      </c>
      <c r="AE202" s="144">
        <f>IF(U202="zákl. přenesená",N202,0)</f>
        <v>0</v>
      </c>
      <c r="AF202" s="144">
        <f>IF(U202="sníž. přenesená",N202,0)</f>
        <v>0</v>
      </c>
      <c r="AG202" s="144">
        <f>IF(U202="nulová",N202,0)</f>
        <v>0</v>
      </c>
      <c r="AH202" s="20" t="s">
        <v>73</v>
      </c>
      <c r="AI202" s="144">
        <f>ROUND(L202*K202,2)</f>
        <v>0</v>
      </c>
      <c r="AJ202" s="20" t="s">
        <v>127</v>
      </c>
      <c r="AK202" s="20" t="s">
        <v>403</v>
      </c>
    </row>
    <row r="203" spans="2:37" s="1" customFormat="1" ht="25.5" customHeight="1">
      <c r="B203" s="135"/>
      <c r="C203" s="136" t="s">
        <v>150</v>
      </c>
      <c r="D203" s="136" t="s">
        <v>125</v>
      </c>
      <c r="E203" s="137" t="s">
        <v>172</v>
      </c>
      <c r="F203" s="258" t="s">
        <v>173</v>
      </c>
      <c r="G203" s="258"/>
      <c r="H203" s="258"/>
      <c r="I203" s="258"/>
      <c r="J203" s="138" t="s">
        <v>126</v>
      </c>
      <c r="K203" s="139">
        <f>K199</f>
        <v>150330.59999999998</v>
      </c>
      <c r="L203" s="251">
        <v>0</v>
      </c>
      <c r="M203" s="251"/>
      <c r="N203" s="251">
        <f>ROUND(L203*K203,2)</f>
        <v>0</v>
      </c>
      <c r="O203" s="251"/>
      <c r="P203" s="251"/>
      <c r="Q203" s="251"/>
      <c r="R203" s="140"/>
      <c r="T203" s="141" t="s">
        <v>5</v>
      </c>
      <c r="U203" s="42" t="s">
        <v>37</v>
      </c>
      <c r="V203" s="142">
        <v>0</v>
      </c>
      <c r="W203" s="142">
        <f>V203*K203</f>
        <v>0</v>
      </c>
      <c r="X203" s="142">
        <v>0</v>
      </c>
      <c r="Y203" s="142">
        <f>X203*K203</f>
        <v>0</v>
      </c>
      <c r="Z203" s="142">
        <v>0</v>
      </c>
      <c r="AA203" s="143">
        <f>Z203*K203</f>
        <v>0</v>
      </c>
      <c r="AE203" s="144">
        <f>IF(U203="zákl. přenesená",N203,0)</f>
        <v>0</v>
      </c>
      <c r="AF203" s="144">
        <f>IF(U203="sníž. přenesená",N203,0)</f>
        <v>0</v>
      </c>
      <c r="AG203" s="144">
        <f>IF(U203="nulová",N203,0)</f>
        <v>0</v>
      </c>
      <c r="AH203" s="20" t="s">
        <v>73</v>
      </c>
      <c r="AI203" s="144">
        <f>ROUND(L203*K203,2)</f>
        <v>0</v>
      </c>
      <c r="AJ203" s="20" t="s">
        <v>127</v>
      </c>
      <c r="AK203" s="20" t="s">
        <v>404</v>
      </c>
    </row>
    <row r="204" spans="2:37" s="11" customFormat="1" ht="16.5" customHeight="1">
      <c r="B204" s="152"/>
      <c r="C204" s="153"/>
      <c r="D204" s="153"/>
      <c r="E204" s="154" t="s">
        <v>5</v>
      </c>
      <c r="F204" s="254" t="s">
        <v>451</v>
      </c>
      <c r="G204" s="255"/>
      <c r="H204" s="255"/>
      <c r="I204" s="255"/>
      <c r="J204" s="153"/>
      <c r="K204" s="155">
        <f>K203</f>
        <v>150330.59999999998</v>
      </c>
      <c r="L204" s="153"/>
      <c r="M204" s="153"/>
      <c r="N204" s="153"/>
      <c r="O204" s="153"/>
      <c r="P204" s="153"/>
      <c r="Q204" s="153"/>
      <c r="R204" s="156"/>
      <c r="T204" s="157"/>
      <c r="U204" s="153"/>
      <c r="V204" s="153"/>
      <c r="W204" s="153"/>
      <c r="X204" s="153"/>
      <c r="Y204" s="153"/>
      <c r="Z204" s="153"/>
      <c r="AA204" s="158"/>
    </row>
    <row r="205" spans="2:37" s="1" customFormat="1" ht="25.5" customHeight="1">
      <c r="B205" s="135"/>
      <c r="C205" s="136" t="s">
        <v>151</v>
      </c>
      <c r="D205" s="136" t="s">
        <v>125</v>
      </c>
      <c r="E205" s="137" t="s">
        <v>175</v>
      </c>
      <c r="F205" s="258" t="s">
        <v>176</v>
      </c>
      <c r="G205" s="258"/>
      <c r="H205" s="258"/>
      <c r="I205" s="258"/>
      <c r="J205" s="138" t="s">
        <v>126</v>
      </c>
      <c r="K205" s="139">
        <f>K198</f>
        <v>1670.3399999999997</v>
      </c>
      <c r="L205" s="251">
        <v>0</v>
      </c>
      <c r="M205" s="251"/>
      <c r="N205" s="251">
        <f>ROUND(L205*K205,2)</f>
        <v>0</v>
      </c>
      <c r="O205" s="251"/>
      <c r="P205" s="251"/>
      <c r="Q205" s="251"/>
      <c r="R205" s="140"/>
      <c r="T205" s="141" t="s">
        <v>5</v>
      </c>
      <c r="U205" s="42" t="s">
        <v>37</v>
      </c>
      <c r="V205" s="142">
        <v>3.3000000000000002E-2</v>
      </c>
      <c r="W205" s="142">
        <f>V205*K205</f>
        <v>55.121219999999994</v>
      </c>
      <c r="X205" s="142">
        <v>0</v>
      </c>
      <c r="Y205" s="142">
        <f>X205*K205</f>
        <v>0</v>
      </c>
      <c r="Z205" s="142">
        <v>0</v>
      </c>
      <c r="AA205" s="143">
        <f>Z205*K205</f>
        <v>0</v>
      </c>
      <c r="AE205" s="144">
        <f>IF(U205="zákl. přenesená",N205,0)</f>
        <v>0</v>
      </c>
      <c r="AF205" s="144">
        <f>IF(U205="sníž. přenesená",N205,0)</f>
        <v>0</v>
      </c>
      <c r="AG205" s="144">
        <f>IF(U205="nulová",N205,0)</f>
        <v>0</v>
      </c>
      <c r="AH205" s="20" t="s">
        <v>73</v>
      </c>
      <c r="AI205" s="144">
        <f>ROUND(L205*K205,2)</f>
        <v>0</v>
      </c>
      <c r="AJ205" s="20" t="s">
        <v>127</v>
      </c>
      <c r="AK205" s="20" t="s">
        <v>405</v>
      </c>
    </row>
    <row r="206" spans="2:37" s="1" customFormat="1" ht="16.5" customHeight="1">
      <c r="B206" s="135"/>
      <c r="C206" s="136" t="s">
        <v>203</v>
      </c>
      <c r="D206" s="136" t="s">
        <v>125</v>
      </c>
      <c r="E206" s="137" t="s">
        <v>179</v>
      </c>
      <c r="F206" s="258" t="s">
        <v>180</v>
      </c>
      <c r="G206" s="258"/>
      <c r="H206" s="258"/>
      <c r="I206" s="258"/>
      <c r="J206" s="138" t="s">
        <v>181</v>
      </c>
      <c r="K206" s="139">
        <v>1</v>
      </c>
      <c r="L206" s="251">
        <v>0</v>
      </c>
      <c r="M206" s="251"/>
      <c r="N206" s="251">
        <f>ROUND(L206*K206,2)</f>
        <v>0</v>
      </c>
      <c r="O206" s="251"/>
      <c r="P206" s="251"/>
      <c r="Q206" s="251"/>
      <c r="R206" s="140"/>
      <c r="T206" s="141" t="s">
        <v>5</v>
      </c>
      <c r="U206" s="42" t="s">
        <v>37</v>
      </c>
      <c r="V206" s="142">
        <v>0.15</v>
      </c>
      <c r="W206" s="142">
        <f>V206*K206</f>
        <v>0.15</v>
      </c>
      <c r="X206" s="142">
        <v>0</v>
      </c>
      <c r="Y206" s="142">
        <f>X206*K206</f>
        <v>0</v>
      </c>
      <c r="Z206" s="142">
        <v>1E-3</v>
      </c>
      <c r="AA206" s="143">
        <f>Z206*K206</f>
        <v>1E-3</v>
      </c>
      <c r="AE206" s="144">
        <f>IF(U206="zákl. přenesená",N206,0)</f>
        <v>0</v>
      </c>
      <c r="AF206" s="144">
        <f>IF(U206="sníž. přenesená",N206,0)</f>
        <v>0</v>
      </c>
      <c r="AG206" s="144">
        <f>IF(U206="nulová",N206,0)</f>
        <v>0</v>
      </c>
      <c r="AH206" s="20" t="s">
        <v>73</v>
      </c>
      <c r="AI206" s="144">
        <f>ROUND(L206*K206,2)</f>
        <v>0</v>
      </c>
      <c r="AJ206" s="20" t="s">
        <v>127</v>
      </c>
      <c r="AK206" s="20" t="s">
        <v>406</v>
      </c>
    </row>
    <row r="207" spans="2:37" s="1" customFormat="1" ht="25.5" customHeight="1">
      <c r="B207" s="135"/>
      <c r="C207" s="136" t="s">
        <v>206</v>
      </c>
      <c r="D207" s="136" t="s">
        <v>125</v>
      </c>
      <c r="E207" s="137" t="s">
        <v>182</v>
      </c>
      <c r="F207" s="258" t="s">
        <v>183</v>
      </c>
      <c r="G207" s="258"/>
      <c r="H207" s="258"/>
      <c r="I207" s="258"/>
      <c r="J207" s="138" t="s">
        <v>181</v>
      </c>
      <c r="K207" s="139">
        <v>1</v>
      </c>
      <c r="L207" s="251">
        <v>0</v>
      </c>
      <c r="M207" s="251"/>
      <c r="N207" s="251">
        <f>ROUND(L207*K207,2)</f>
        <v>0</v>
      </c>
      <c r="O207" s="251"/>
      <c r="P207" s="251"/>
      <c r="Q207" s="251"/>
      <c r="R207" s="140"/>
      <c r="T207" s="141" t="s">
        <v>5</v>
      </c>
      <c r="U207" s="42" t="s">
        <v>37</v>
      </c>
      <c r="V207" s="142">
        <v>0.18099999999999999</v>
      </c>
      <c r="W207" s="142">
        <f>V207*K207</f>
        <v>0.18099999999999999</v>
      </c>
      <c r="X207" s="142">
        <v>0</v>
      </c>
      <c r="Y207" s="142">
        <f>X207*K207</f>
        <v>0</v>
      </c>
      <c r="Z207" s="142">
        <v>1E-3</v>
      </c>
      <c r="AA207" s="143">
        <f>Z207*K207</f>
        <v>1E-3</v>
      </c>
      <c r="AE207" s="144">
        <f>IF(U207="zákl. přenesená",N207,0)</f>
        <v>0</v>
      </c>
      <c r="AF207" s="144">
        <f>IF(U207="sníž. přenesená",N207,0)</f>
        <v>0</v>
      </c>
      <c r="AG207" s="144">
        <f>IF(U207="nulová",N207,0)</f>
        <v>0</v>
      </c>
      <c r="AH207" s="20" t="s">
        <v>73</v>
      </c>
      <c r="AI207" s="144">
        <f>ROUND(L207*K207,2)</f>
        <v>0</v>
      </c>
      <c r="AJ207" s="20" t="s">
        <v>127</v>
      </c>
      <c r="AK207" s="20" t="s">
        <v>407</v>
      </c>
    </row>
    <row r="208" spans="2:37" s="1" customFormat="1" ht="38.25" customHeight="1">
      <c r="B208" s="135"/>
      <c r="C208" s="136" t="s">
        <v>155</v>
      </c>
      <c r="D208" s="136" t="s">
        <v>125</v>
      </c>
      <c r="E208" s="137" t="s">
        <v>188</v>
      </c>
      <c r="F208" s="258" t="s">
        <v>189</v>
      </c>
      <c r="G208" s="258"/>
      <c r="H208" s="258"/>
      <c r="I208" s="258"/>
      <c r="J208" s="138" t="s">
        <v>126</v>
      </c>
      <c r="K208" s="139">
        <f>K161</f>
        <v>1447.9560000000001</v>
      </c>
      <c r="L208" s="251">
        <v>0</v>
      </c>
      <c r="M208" s="251"/>
      <c r="N208" s="251">
        <f>ROUND(L208*K208,2)</f>
        <v>0</v>
      </c>
      <c r="O208" s="251"/>
      <c r="P208" s="251"/>
      <c r="Q208" s="251"/>
      <c r="R208" s="140"/>
      <c r="T208" s="141" t="s">
        <v>5</v>
      </c>
      <c r="U208" s="42" t="s">
        <v>37</v>
      </c>
      <c r="V208" s="142">
        <v>0.35199999999999998</v>
      </c>
      <c r="W208" s="142">
        <f>V208*K208</f>
        <v>509.68051200000002</v>
      </c>
      <c r="X208" s="142">
        <v>0</v>
      </c>
      <c r="Y208" s="142">
        <f>X208*K208</f>
        <v>0</v>
      </c>
      <c r="Z208" s="142">
        <v>7.1999999999999995E-2</v>
      </c>
      <c r="AA208" s="143">
        <f>Z208*K208</f>
        <v>104.252832</v>
      </c>
      <c r="AE208" s="144">
        <f>IF(U208="zákl. přenesená",N208,0)</f>
        <v>0</v>
      </c>
      <c r="AF208" s="144">
        <f>IF(U208="sníž. přenesená",N208,0)</f>
        <v>0</v>
      </c>
      <c r="AG208" s="144">
        <f>IF(U208="nulová",N208,0)</f>
        <v>0</v>
      </c>
      <c r="AH208" s="20" t="s">
        <v>73</v>
      </c>
      <c r="AI208" s="144">
        <f>ROUND(L208*K208,2)</f>
        <v>0</v>
      </c>
      <c r="AJ208" s="20" t="s">
        <v>127</v>
      </c>
      <c r="AK208" s="20" t="s">
        <v>408</v>
      </c>
    </row>
    <row r="209" spans="2:37" s="10" customFormat="1" ht="16.5" customHeight="1">
      <c r="B209" s="145"/>
      <c r="C209" s="146"/>
      <c r="D209" s="146"/>
      <c r="E209" s="147" t="s">
        <v>5</v>
      </c>
      <c r="F209" s="261" t="s">
        <v>158</v>
      </c>
      <c r="G209" s="262"/>
      <c r="H209" s="262"/>
      <c r="I209" s="262"/>
      <c r="J209" s="146"/>
      <c r="K209" s="147" t="s">
        <v>5</v>
      </c>
      <c r="L209" s="146"/>
      <c r="M209" s="146"/>
      <c r="N209" s="146"/>
      <c r="O209" s="146"/>
      <c r="P209" s="146"/>
      <c r="Q209" s="146"/>
      <c r="R209" s="148"/>
      <c r="T209" s="149"/>
      <c r="U209" s="146"/>
      <c r="V209" s="146"/>
      <c r="W209" s="146"/>
      <c r="X209" s="146"/>
      <c r="Y209" s="146"/>
      <c r="Z209" s="146"/>
      <c r="AA209" s="150"/>
    </row>
    <row r="210" spans="2:37" s="10" customFormat="1" ht="16.5" customHeight="1">
      <c r="B210" s="145"/>
      <c r="C210" s="146"/>
      <c r="D210" s="146"/>
      <c r="E210" s="147" t="s">
        <v>5</v>
      </c>
      <c r="F210" s="259" t="s">
        <v>334</v>
      </c>
      <c r="G210" s="260"/>
      <c r="H210" s="260"/>
      <c r="I210" s="260"/>
      <c r="J210" s="146"/>
      <c r="K210" s="147" t="s">
        <v>5</v>
      </c>
      <c r="L210" s="146"/>
      <c r="M210" s="146"/>
      <c r="N210" s="146"/>
      <c r="O210" s="146"/>
      <c r="P210" s="146"/>
      <c r="Q210" s="146"/>
      <c r="R210" s="148"/>
      <c r="T210" s="149"/>
      <c r="U210" s="146"/>
      <c r="V210" s="146"/>
      <c r="W210" s="146"/>
      <c r="X210" s="146"/>
      <c r="Y210" s="146"/>
      <c r="Z210" s="146"/>
      <c r="AA210" s="150"/>
    </row>
    <row r="211" spans="2:37" s="11" customFormat="1" ht="25.5" customHeight="1">
      <c r="B211" s="152"/>
      <c r="C211" s="153"/>
      <c r="D211" s="153"/>
      <c r="E211" s="154" t="s">
        <v>5</v>
      </c>
      <c r="F211" s="252" t="s">
        <v>442</v>
      </c>
      <c r="G211" s="253"/>
      <c r="H211" s="253"/>
      <c r="I211" s="253"/>
      <c r="J211" s="153"/>
      <c r="K211" s="155">
        <f>33.51*11.2+3.65*11.2*2-8*0.8*0.4-16*1.25*2.49-1.5*2.65-1.9*3.2-1.9*1</f>
        <v>392.75699999999995</v>
      </c>
      <c r="L211" s="153"/>
      <c r="M211" s="153"/>
      <c r="N211" s="153"/>
      <c r="O211" s="153"/>
      <c r="P211" s="153"/>
      <c r="Q211" s="153"/>
      <c r="R211" s="156"/>
      <c r="T211" s="157"/>
      <c r="U211" s="153"/>
      <c r="V211" s="153"/>
      <c r="W211" s="153"/>
      <c r="X211" s="153"/>
      <c r="Y211" s="153"/>
      <c r="Z211" s="153"/>
      <c r="AA211" s="158"/>
    </row>
    <row r="212" spans="2:37" s="10" customFormat="1" ht="16.5" customHeight="1">
      <c r="B212" s="145"/>
      <c r="C212" s="146"/>
      <c r="D212" s="146"/>
      <c r="E212" s="147" t="s">
        <v>5</v>
      </c>
      <c r="F212" s="259" t="s">
        <v>335</v>
      </c>
      <c r="G212" s="260"/>
      <c r="H212" s="260"/>
      <c r="I212" s="260"/>
      <c r="J212" s="146"/>
      <c r="K212" s="147" t="s">
        <v>5</v>
      </c>
      <c r="L212" s="146"/>
      <c r="M212" s="146"/>
      <c r="N212" s="146"/>
      <c r="O212" s="146"/>
      <c r="P212" s="146"/>
      <c r="Q212" s="146"/>
      <c r="R212" s="148"/>
      <c r="T212" s="149"/>
      <c r="U212" s="146"/>
      <c r="V212" s="146"/>
      <c r="W212" s="146"/>
      <c r="X212" s="146"/>
      <c r="Y212" s="146"/>
      <c r="Z212" s="146"/>
      <c r="AA212" s="150"/>
    </row>
    <row r="213" spans="2:37" s="11" customFormat="1" ht="16.5" customHeight="1">
      <c r="B213" s="152"/>
      <c r="C213" s="153"/>
      <c r="D213" s="153"/>
      <c r="E213" s="154" t="s">
        <v>5</v>
      </c>
      <c r="F213" s="252" t="s">
        <v>443</v>
      </c>
      <c r="G213" s="253"/>
      <c r="H213" s="253"/>
      <c r="I213" s="253"/>
      <c r="J213" s="153"/>
      <c r="K213" s="155">
        <f>17.85*11.2-3*0.8*0.4-2*1.25*2.49</f>
        <v>192.73500000000001</v>
      </c>
      <c r="L213" s="153"/>
      <c r="M213" s="153"/>
      <c r="N213" s="153"/>
      <c r="O213" s="153"/>
      <c r="P213" s="153"/>
      <c r="Q213" s="153"/>
      <c r="R213" s="156"/>
      <c r="T213" s="157"/>
      <c r="U213" s="153"/>
      <c r="V213" s="153"/>
      <c r="W213" s="153"/>
      <c r="X213" s="153"/>
      <c r="Y213" s="153"/>
      <c r="Z213" s="153"/>
      <c r="AA213" s="158"/>
    </row>
    <row r="214" spans="2:37" s="10" customFormat="1" ht="16.5" customHeight="1">
      <c r="B214" s="145"/>
      <c r="C214" s="146"/>
      <c r="D214" s="146"/>
      <c r="E214" s="147" t="s">
        <v>5</v>
      </c>
      <c r="F214" s="259" t="s">
        <v>333</v>
      </c>
      <c r="G214" s="260"/>
      <c r="H214" s="260"/>
      <c r="I214" s="260"/>
      <c r="J214" s="146"/>
      <c r="K214" s="147" t="s">
        <v>5</v>
      </c>
      <c r="L214" s="146"/>
      <c r="M214" s="146"/>
      <c r="N214" s="146"/>
      <c r="O214" s="146"/>
      <c r="P214" s="146"/>
      <c r="Q214" s="146"/>
      <c r="R214" s="148"/>
      <c r="T214" s="149"/>
      <c r="U214" s="146"/>
      <c r="V214" s="146"/>
      <c r="W214" s="146"/>
      <c r="X214" s="146"/>
      <c r="Y214" s="146"/>
      <c r="Z214" s="146"/>
      <c r="AA214" s="150"/>
    </row>
    <row r="215" spans="2:37" s="11" customFormat="1" ht="25.5" customHeight="1">
      <c r="B215" s="152"/>
      <c r="C215" s="153"/>
      <c r="D215" s="153"/>
      <c r="E215" s="154" t="s">
        <v>5</v>
      </c>
      <c r="F215" s="252" t="s">
        <v>444</v>
      </c>
      <c r="G215" s="253"/>
      <c r="H215" s="253"/>
      <c r="I215" s="253"/>
      <c r="J215" s="153"/>
      <c r="K215" s="155">
        <f>33.31*11.2+2.2*11.2+9.68*11.2-3*0.8*0.4-15*1.25*2.49-8*1.05*2.49-1.34*2.4</f>
        <v>434.3485</v>
      </c>
      <c r="L215" s="153"/>
      <c r="M215" s="153"/>
      <c r="N215" s="153"/>
      <c r="O215" s="153"/>
      <c r="P215" s="153"/>
      <c r="Q215" s="153"/>
      <c r="R215" s="156"/>
      <c r="T215" s="157"/>
      <c r="U215" s="153"/>
      <c r="V215" s="153"/>
      <c r="W215" s="153"/>
      <c r="X215" s="153"/>
      <c r="Y215" s="153"/>
      <c r="Z215" s="153"/>
      <c r="AA215" s="158"/>
    </row>
    <row r="216" spans="2:37" s="10" customFormat="1" ht="16.5" customHeight="1">
      <c r="B216" s="145"/>
      <c r="C216" s="146"/>
      <c r="D216" s="146"/>
      <c r="E216" s="147" t="s">
        <v>5</v>
      </c>
      <c r="F216" s="259" t="s">
        <v>332</v>
      </c>
      <c r="G216" s="260"/>
      <c r="H216" s="260"/>
      <c r="I216" s="260"/>
      <c r="J216" s="146"/>
      <c r="K216" s="147" t="s">
        <v>5</v>
      </c>
      <c r="L216" s="146"/>
      <c r="M216" s="146"/>
      <c r="N216" s="146"/>
      <c r="O216" s="146"/>
      <c r="P216" s="146"/>
      <c r="Q216" s="146"/>
      <c r="R216" s="148"/>
      <c r="T216" s="149"/>
      <c r="U216" s="146"/>
      <c r="V216" s="146"/>
      <c r="W216" s="146"/>
      <c r="X216" s="146"/>
      <c r="Y216" s="146"/>
      <c r="Z216" s="146"/>
      <c r="AA216" s="150"/>
    </row>
    <row r="217" spans="2:37" s="11" customFormat="1" ht="25.5" customHeight="1">
      <c r="B217" s="152"/>
      <c r="C217" s="153"/>
      <c r="D217" s="153"/>
      <c r="E217" s="154" t="s">
        <v>5</v>
      </c>
      <c r="F217" s="252" t="s">
        <v>445</v>
      </c>
      <c r="G217" s="253"/>
      <c r="H217" s="253"/>
      <c r="I217" s="253"/>
      <c r="J217" s="153"/>
      <c r="K217" s="155">
        <f>33.31*11.2+2.2*11.2+9.68*11.2-4*0.8*0.4-13*1.25*2.49-12*1.05*2.49-1.44*3.4</f>
        <v>428.11549999999994</v>
      </c>
      <c r="L217" s="153"/>
      <c r="M217" s="153"/>
      <c r="N217" s="153"/>
      <c r="O217" s="153"/>
      <c r="P217" s="153"/>
      <c r="Q217" s="153"/>
      <c r="R217" s="156"/>
      <c r="T217" s="157"/>
      <c r="U217" s="153"/>
      <c r="V217" s="153"/>
      <c r="W217" s="153"/>
      <c r="X217" s="153"/>
      <c r="Y217" s="153"/>
      <c r="Z217" s="153"/>
      <c r="AA217" s="158"/>
    </row>
    <row r="218" spans="2:37" s="12" customFormat="1" ht="16.5" customHeight="1">
      <c r="B218" s="160"/>
      <c r="C218" s="161"/>
      <c r="D218" s="161"/>
      <c r="E218" s="162" t="s">
        <v>5</v>
      </c>
      <c r="F218" s="256" t="s">
        <v>128</v>
      </c>
      <c r="G218" s="257"/>
      <c r="H218" s="257"/>
      <c r="I218" s="257"/>
      <c r="J218" s="161"/>
      <c r="K218" s="163">
        <f>K211+K213+K215+K217</f>
        <v>1447.9559999999999</v>
      </c>
      <c r="L218" s="161"/>
      <c r="M218" s="161"/>
      <c r="N218" s="161"/>
      <c r="O218" s="161"/>
      <c r="P218" s="161"/>
      <c r="Q218" s="161"/>
      <c r="R218" s="164"/>
      <c r="T218" s="165"/>
      <c r="U218" s="161"/>
      <c r="V218" s="161"/>
      <c r="W218" s="161"/>
      <c r="X218" s="161"/>
      <c r="Y218" s="161"/>
      <c r="Z218" s="161"/>
      <c r="AA218" s="166"/>
    </row>
    <row r="219" spans="2:37" s="9" customFormat="1" ht="29.85" customHeight="1">
      <c r="B219" s="125"/>
      <c r="C219" s="126"/>
      <c r="D219" s="134" t="s">
        <v>103</v>
      </c>
      <c r="E219" s="134"/>
      <c r="F219" s="134"/>
      <c r="G219" s="134"/>
      <c r="H219" s="134"/>
      <c r="I219" s="134"/>
      <c r="J219" s="134"/>
      <c r="K219" s="134"/>
      <c r="L219" s="134"/>
      <c r="M219" s="134"/>
      <c r="N219" s="263">
        <f>N220+N221+N222+N224</f>
        <v>0</v>
      </c>
      <c r="O219" s="264"/>
      <c r="P219" s="264"/>
      <c r="Q219" s="264"/>
      <c r="R219" s="128"/>
      <c r="T219" s="129"/>
      <c r="U219" s="126"/>
      <c r="V219" s="126"/>
      <c r="W219" s="130">
        <f>SUM(W220:W224)</f>
        <v>215.94784999999999</v>
      </c>
      <c r="X219" s="126"/>
      <c r="Y219" s="130">
        <f>SUM(Y220:Y224)</f>
        <v>0</v>
      </c>
      <c r="Z219" s="126"/>
      <c r="AA219" s="131">
        <f>SUM(AA220:AA224)</f>
        <v>0</v>
      </c>
      <c r="AI219" s="133">
        <f>SUM(AI220:AI224)</f>
        <v>0</v>
      </c>
    </row>
    <row r="220" spans="2:37" s="1" customFormat="1" ht="38.25" customHeight="1">
      <c r="B220" s="135"/>
      <c r="C220" s="136" t="s">
        <v>159</v>
      </c>
      <c r="D220" s="136" t="s">
        <v>125</v>
      </c>
      <c r="E220" s="137" t="s">
        <v>193</v>
      </c>
      <c r="F220" s="258" t="s">
        <v>194</v>
      </c>
      <c r="G220" s="258"/>
      <c r="H220" s="258"/>
      <c r="I220" s="258"/>
      <c r="J220" s="138" t="s">
        <v>195</v>
      </c>
      <c r="K220" s="139">
        <v>128.35</v>
      </c>
      <c r="L220" s="251">
        <v>0</v>
      </c>
      <c r="M220" s="251"/>
      <c r="N220" s="251">
        <f>ROUND(L220*K220,2)</f>
        <v>0</v>
      </c>
      <c r="O220" s="251"/>
      <c r="P220" s="251"/>
      <c r="Q220" s="251"/>
      <c r="R220" s="140"/>
      <c r="T220" s="141" t="s">
        <v>5</v>
      </c>
      <c r="U220" s="42" t="s">
        <v>37</v>
      </c>
      <c r="V220" s="142">
        <v>1.47</v>
      </c>
      <c r="W220" s="142">
        <f>V220*K220</f>
        <v>188.67449999999999</v>
      </c>
      <c r="X220" s="142">
        <v>0</v>
      </c>
      <c r="Y220" s="142">
        <f>X220*K220</f>
        <v>0</v>
      </c>
      <c r="Z220" s="142">
        <v>0</v>
      </c>
      <c r="AA220" s="143">
        <f>Z220*K220</f>
        <v>0</v>
      </c>
      <c r="AE220" s="144">
        <f>IF(U220="zákl. přenesená",N220,0)</f>
        <v>0</v>
      </c>
      <c r="AF220" s="144">
        <f>IF(U220="sníž. přenesená",N220,0)</f>
        <v>0</v>
      </c>
      <c r="AG220" s="144">
        <f>IF(U220="nulová",N220,0)</f>
        <v>0</v>
      </c>
      <c r="AH220" s="20" t="s">
        <v>73</v>
      </c>
      <c r="AI220" s="144">
        <f>ROUND(L220*K220,2)</f>
        <v>0</v>
      </c>
      <c r="AJ220" s="20" t="s">
        <v>127</v>
      </c>
      <c r="AK220" s="20" t="s">
        <v>409</v>
      </c>
    </row>
    <row r="221" spans="2:37" s="1" customFormat="1" ht="38.25" customHeight="1">
      <c r="B221" s="135"/>
      <c r="C221" s="136" t="s">
        <v>160</v>
      </c>
      <c r="D221" s="136" t="s">
        <v>125</v>
      </c>
      <c r="E221" s="137" t="s">
        <v>197</v>
      </c>
      <c r="F221" s="258" t="s">
        <v>198</v>
      </c>
      <c r="G221" s="258"/>
      <c r="H221" s="258"/>
      <c r="I221" s="258"/>
      <c r="J221" s="138" t="s">
        <v>195</v>
      </c>
      <c r="K221" s="139">
        <v>128.35</v>
      </c>
      <c r="L221" s="251">
        <v>0</v>
      </c>
      <c r="M221" s="251"/>
      <c r="N221" s="251">
        <f>ROUND(L221*K221,2)</f>
        <v>0</v>
      </c>
      <c r="O221" s="251"/>
      <c r="P221" s="251"/>
      <c r="Q221" s="251"/>
      <c r="R221" s="140"/>
      <c r="T221" s="141" t="s">
        <v>5</v>
      </c>
      <c r="U221" s="42" t="s">
        <v>37</v>
      </c>
      <c r="V221" s="142">
        <v>0.125</v>
      </c>
      <c r="W221" s="142">
        <f>V221*K221</f>
        <v>16.043749999999999</v>
      </c>
      <c r="X221" s="142">
        <v>0</v>
      </c>
      <c r="Y221" s="142">
        <f>X221*K221</f>
        <v>0</v>
      </c>
      <c r="Z221" s="142">
        <v>0</v>
      </c>
      <c r="AA221" s="143">
        <f>Z221*K221</f>
        <v>0</v>
      </c>
      <c r="AE221" s="144">
        <f>IF(U221="zákl. přenesená",N221,0)</f>
        <v>0</v>
      </c>
      <c r="AF221" s="144">
        <f>IF(U221="sníž. přenesená",N221,0)</f>
        <v>0</v>
      </c>
      <c r="AG221" s="144">
        <f>IF(U221="nulová",N221,0)</f>
        <v>0</v>
      </c>
      <c r="AH221" s="20" t="s">
        <v>73</v>
      </c>
      <c r="AI221" s="144">
        <f>ROUND(L221*K221,2)</f>
        <v>0</v>
      </c>
      <c r="AJ221" s="20" t="s">
        <v>127</v>
      </c>
      <c r="AK221" s="20" t="s">
        <v>410</v>
      </c>
    </row>
    <row r="222" spans="2:37" s="1" customFormat="1" ht="25.5" customHeight="1">
      <c r="B222" s="135"/>
      <c r="C222" s="136" t="s">
        <v>164</v>
      </c>
      <c r="D222" s="136" t="s">
        <v>125</v>
      </c>
      <c r="E222" s="137" t="s">
        <v>200</v>
      </c>
      <c r="F222" s="258" t="s">
        <v>201</v>
      </c>
      <c r="G222" s="258"/>
      <c r="H222" s="258"/>
      <c r="I222" s="258"/>
      <c r="J222" s="138" t="s">
        <v>195</v>
      </c>
      <c r="K222" s="139">
        <f>K223</f>
        <v>1871.6</v>
      </c>
      <c r="L222" s="251">
        <v>0</v>
      </c>
      <c r="M222" s="251"/>
      <c r="N222" s="251">
        <f>ROUND(L222*K222,2)</f>
        <v>0</v>
      </c>
      <c r="O222" s="251"/>
      <c r="P222" s="251"/>
      <c r="Q222" s="251"/>
      <c r="R222" s="140"/>
      <c r="T222" s="141" t="s">
        <v>5</v>
      </c>
      <c r="U222" s="42" t="s">
        <v>37</v>
      </c>
      <c r="V222" s="142">
        <v>6.0000000000000001E-3</v>
      </c>
      <c r="W222" s="142">
        <f>V222*K222</f>
        <v>11.2296</v>
      </c>
      <c r="X222" s="142">
        <v>0</v>
      </c>
      <c r="Y222" s="142">
        <f>X222*K222</f>
        <v>0</v>
      </c>
      <c r="Z222" s="142">
        <v>0</v>
      </c>
      <c r="AA222" s="143">
        <f>Z222*K222</f>
        <v>0</v>
      </c>
      <c r="AE222" s="144">
        <f>IF(U222="zákl. přenesená",N222,0)</f>
        <v>0</v>
      </c>
      <c r="AF222" s="144">
        <f>IF(U222="sníž. přenesená",N222,0)</f>
        <v>0</v>
      </c>
      <c r="AG222" s="144">
        <f>IF(U222="nulová",N222,0)</f>
        <v>0</v>
      </c>
      <c r="AH222" s="20" t="s">
        <v>73</v>
      </c>
      <c r="AI222" s="144">
        <f>ROUND(L222*K222,2)</f>
        <v>0</v>
      </c>
      <c r="AJ222" s="20" t="s">
        <v>127</v>
      </c>
      <c r="AK222" s="20" t="s">
        <v>411</v>
      </c>
    </row>
    <row r="223" spans="2:37" s="11" customFormat="1" ht="16.5" customHeight="1">
      <c r="B223" s="152"/>
      <c r="C223" s="153"/>
      <c r="D223" s="153"/>
      <c r="E223" s="154" t="s">
        <v>5</v>
      </c>
      <c r="F223" s="254" t="s">
        <v>452</v>
      </c>
      <c r="G223" s="255"/>
      <c r="H223" s="255"/>
      <c r="I223" s="255"/>
      <c r="J223" s="153"/>
      <c r="K223" s="155">
        <f>93.58*20</f>
        <v>1871.6</v>
      </c>
      <c r="L223" s="153"/>
      <c r="M223" s="153"/>
      <c r="N223" s="153"/>
      <c r="O223" s="153"/>
      <c r="P223" s="153"/>
      <c r="Q223" s="153"/>
      <c r="R223" s="156"/>
      <c r="T223" s="157"/>
      <c r="U223" s="153"/>
      <c r="V223" s="153"/>
      <c r="W223" s="153"/>
      <c r="X223" s="153"/>
      <c r="Y223" s="153"/>
      <c r="Z223" s="153"/>
      <c r="AA223" s="158"/>
    </row>
    <row r="224" spans="2:37" s="1" customFormat="1" ht="38.25" customHeight="1">
      <c r="B224" s="135"/>
      <c r="C224" s="136" t="s">
        <v>9</v>
      </c>
      <c r="D224" s="136" t="s">
        <v>125</v>
      </c>
      <c r="E224" s="137" t="s">
        <v>204</v>
      </c>
      <c r="F224" s="258" t="s">
        <v>205</v>
      </c>
      <c r="G224" s="258"/>
      <c r="H224" s="258"/>
      <c r="I224" s="258"/>
      <c r="J224" s="138" t="s">
        <v>195</v>
      </c>
      <c r="K224" s="139">
        <v>93.58</v>
      </c>
      <c r="L224" s="251">
        <v>0</v>
      </c>
      <c r="M224" s="251"/>
      <c r="N224" s="251">
        <f>ROUND(L224*K224,2)</f>
        <v>0</v>
      </c>
      <c r="O224" s="251"/>
      <c r="P224" s="251"/>
      <c r="Q224" s="251"/>
      <c r="R224" s="140"/>
      <c r="T224" s="141" t="s">
        <v>5</v>
      </c>
      <c r="U224" s="42" t="s">
        <v>37</v>
      </c>
      <c r="V224" s="142">
        <v>0</v>
      </c>
      <c r="W224" s="142">
        <f>V224*K224</f>
        <v>0</v>
      </c>
      <c r="X224" s="142">
        <v>0</v>
      </c>
      <c r="Y224" s="142">
        <f>X224*K224</f>
        <v>0</v>
      </c>
      <c r="Z224" s="142">
        <v>0</v>
      </c>
      <c r="AA224" s="143">
        <f>Z224*K224</f>
        <v>0</v>
      </c>
      <c r="AE224" s="144">
        <f>IF(U224="zákl. přenesená",N224,0)</f>
        <v>0</v>
      </c>
      <c r="AF224" s="144">
        <f>IF(U224="sníž. přenesená",N224,0)</f>
        <v>0</v>
      </c>
      <c r="AG224" s="144">
        <f>IF(U224="nulová",N224,0)</f>
        <v>0</v>
      </c>
      <c r="AH224" s="20" t="s">
        <v>73</v>
      </c>
      <c r="AI224" s="144">
        <f>ROUND(L224*K224,2)</f>
        <v>0</v>
      </c>
      <c r="AJ224" s="20" t="s">
        <v>127</v>
      </c>
      <c r="AK224" s="20" t="s">
        <v>412</v>
      </c>
    </row>
    <row r="225" spans="2:37" s="9" customFormat="1" ht="29.85" customHeight="1">
      <c r="B225" s="125"/>
      <c r="C225" s="126"/>
      <c r="D225" s="134" t="s">
        <v>104</v>
      </c>
      <c r="E225" s="134"/>
      <c r="F225" s="134"/>
      <c r="G225" s="134"/>
      <c r="H225" s="134"/>
      <c r="I225" s="134"/>
      <c r="J225" s="134"/>
      <c r="K225" s="134"/>
      <c r="L225" s="134"/>
      <c r="M225" s="134"/>
      <c r="N225" s="294">
        <f>N226</f>
        <v>0</v>
      </c>
      <c r="O225" s="295"/>
      <c r="P225" s="295"/>
      <c r="Q225" s="295"/>
      <c r="R225" s="128"/>
      <c r="T225" s="129"/>
      <c r="U225" s="126"/>
      <c r="V225" s="126"/>
      <c r="W225" s="130">
        <f>W226</f>
        <v>29.75844</v>
      </c>
      <c r="X225" s="126"/>
      <c r="Y225" s="130">
        <f>Y226</f>
        <v>0</v>
      </c>
      <c r="Z225" s="126"/>
      <c r="AA225" s="131">
        <f>AA226</f>
        <v>0</v>
      </c>
      <c r="AI225" s="133">
        <f>AI226</f>
        <v>0</v>
      </c>
    </row>
    <row r="226" spans="2:37" s="1" customFormat="1" ht="25.5" customHeight="1">
      <c r="B226" s="135"/>
      <c r="C226" s="136" t="s">
        <v>163</v>
      </c>
      <c r="D226" s="136" t="s">
        <v>125</v>
      </c>
      <c r="E226" s="137" t="s">
        <v>207</v>
      </c>
      <c r="F226" s="258" t="s">
        <v>208</v>
      </c>
      <c r="G226" s="258"/>
      <c r="H226" s="258"/>
      <c r="I226" s="258"/>
      <c r="J226" s="138" t="s">
        <v>195</v>
      </c>
      <c r="K226" s="139">
        <v>93.58</v>
      </c>
      <c r="L226" s="251">
        <v>0</v>
      </c>
      <c r="M226" s="251"/>
      <c r="N226" s="251">
        <f>ROUND(L226*K226,2)</f>
        <v>0</v>
      </c>
      <c r="O226" s="251"/>
      <c r="P226" s="251"/>
      <c r="Q226" s="251"/>
      <c r="R226" s="140"/>
      <c r="T226" s="141" t="s">
        <v>5</v>
      </c>
      <c r="U226" s="42" t="s">
        <v>37</v>
      </c>
      <c r="V226" s="142">
        <v>0.318</v>
      </c>
      <c r="W226" s="142">
        <f>V226*K226</f>
        <v>29.75844</v>
      </c>
      <c r="X226" s="142">
        <v>0</v>
      </c>
      <c r="Y226" s="142">
        <f>X226*K226</f>
        <v>0</v>
      </c>
      <c r="Z226" s="142">
        <v>0</v>
      </c>
      <c r="AA226" s="143">
        <f>Z226*K226</f>
        <v>0</v>
      </c>
      <c r="AE226" s="144">
        <f>IF(U226="zákl. přenesená",N226,0)</f>
        <v>0</v>
      </c>
      <c r="AF226" s="144">
        <f>IF(U226="sníž. přenesená",N226,0)</f>
        <v>0</v>
      </c>
      <c r="AG226" s="144">
        <f>IF(U226="nulová",N226,0)</f>
        <v>0</v>
      </c>
      <c r="AH226" s="20" t="s">
        <v>73</v>
      </c>
      <c r="AI226" s="144">
        <f>ROUND(L226*K226,2)</f>
        <v>0</v>
      </c>
      <c r="AJ226" s="20" t="s">
        <v>127</v>
      </c>
      <c r="AK226" s="20" t="s">
        <v>413</v>
      </c>
    </row>
    <row r="227" spans="2:37" s="9" customFormat="1" ht="37.35" customHeight="1">
      <c r="B227" s="125"/>
      <c r="C227" s="126"/>
      <c r="D227" s="127" t="s">
        <v>105</v>
      </c>
      <c r="E227" s="127"/>
      <c r="F227" s="127"/>
      <c r="G227" s="127"/>
      <c r="H227" s="127"/>
      <c r="I227" s="127"/>
      <c r="J227" s="127"/>
      <c r="K227" s="127"/>
      <c r="L227" s="127"/>
      <c r="M227" s="127"/>
      <c r="N227" s="300">
        <f>N228+N261+N264</f>
        <v>0</v>
      </c>
      <c r="O227" s="301"/>
      <c r="P227" s="301"/>
      <c r="Q227" s="301"/>
      <c r="R227" s="128"/>
      <c r="T227" s="129"/>
      <c r="U227" s="126"/>
      <c r="V227" s="126"/>
      <c r="W227" s="130">
        <f>W228+W261+W264</f>
        <v>691.92133799999999</v>
      </c>
      <c r="X227" s="126"/>
      <c r="Y227" s="130">
        <f>Y228+Y261+Y264</f>
        <v>2.4602539399999999</v>
      </c>
      <c r="Z227" s="126"/>
      <c r="AA227" s="131">
        <f>AA228+AA261+AA264</f>
        <v>0.49729860000000004</v>
      </c>
      <c r="AI227" s="133">
        <f>AI228+AI261+AI264</f>
        <v>0</v>
      </c>
    </row>
    <row r="228" spans="2:37" s="9" customFormat="1" ht="19.899999999999999" customHeight="1">
      <c r="B228" s="125"/>
      <c r="C228" s="126"/>
      <c r="D228" s="134" t="s">
        <v>106</v>
      </c>
      <c r="E228" s="134"/>
      <c r="F228" s="134"/>
      <c r="G228" s="134"/>
      <c r="H228" s="134"/>
      <c r="I228" s="134"/>
      <c r="J228" s="134"/>
      <c r="K228" s="134"/>
      <c r="L228" s="134"/>
      <c r="M228" s="134"/>
      <c r="N228" s="263">
        <f>N229+N230+N231+N259+N260</f>
        <v>0</v>
      </c>
      <c r="O228" s="264"/>
      <c r="P228" s="264"/>
      <c r="Q228" s="264"/>
      <c r="R228" s="128"/>
      <c r="T228" s="129"/>
      <c r="U228" s="126"/>
      <c r="V228" s="126"/>
      <c r="W228" s="130">
        <f>SUM(W229:W260)</f>
        <v>102.89954999999999</v>
      </c>
      <c r="X228" s="126"/>
      <c r="Y228" s="130">
        <f>SUM(Y229:Y260)</f>
        <v>0.51824749999999997</v>
      </c>
      <c r="Z228" s="126"/>
      <c r="AA228" s="131">
        <f>SUM(AA229:AA260)</f>
        <v>0.49729860000000004</v>
      </c>
      <c r="AI228" s="133">
        <f>SUM(AI229:AI260)</f>
        <v>0</v>
      </c>
    </row>
    <row r="229" spans="2:37" s="1" customFormat="1" ht="16.5" customHeight="1">
      <c r="B229" s="135"/>
      <c r="C229" s="136" t="s">
        <v>171</v>
      </c>
      <c r="D229" s="136" t="s">
        <v>125</v>
      </c>
      <c r="E229" s="137" t="s">
        <v>214</v>
      </c>
      <c r="F229" s="258" t="s">
        <v>215</v>
      </c>
      <c r="G229" s="258"/>
      <c r="H229" s="258"/>
      <c r="I229" s="258"/>
      <c r="J229" s="138" t="s">
        <v>138</v>
      </c>
      <c r="K229" s="139">
        <v>112.58</v>
      </c>
      <c r="L229" s="251">
        <v>0</v>
      </c>
      <c r="M229" s="251"/>
      <c r="N229" s="251">
        <f>ROUND(L229*K229,2)</f>
        <v>0</v>
      </c>
      <c r="O229" s="251"/>
      <c r="P229" s="251"/>
      <c r="Q229" s="251"/>
      <c r="R229" s="140"/>
      <c r="T229" s="141" t="s">
        <v>5</v>
      </c>
      <c r="U229" s="42" t="s">
        <v>37</v>
      </c>
      <c r="V229" s="142">
        <v>0.19500000000000001</v>
      </c>
      <c r="W229" s="142">
        <f>V229*K229</f>
        <v>21.953099999999999</v>
      </c>
      <c r="X229" s="142">
        <v>0</v>
      </c>
      <c r="Y229" s="142">
        <f>X229*K229</f>
        <v>0</v>
      </c>
      <c r="Z229" s="142">
        <v>1.67E-3</v>
      </c>
      <c r="AA229" s="143">
        <f>Z229*K229</f>
        <v>0.1880086</v>
      </c>
      <c r="AE229" s="144">
        <f>IF(U229="zákl. přenesená",N229,0)</f>
        <v>0</v>
      </c>
      <c r="AF229" s="144">
        <f>IF(U229="sníž. přenesená",N229,0)</f>
        <v>0</v>
      </c>
      <c r="AG229" s="144">
        <f>IF(U229="nulová",N229,0)</f>
        <v>0</v>
      </c>
      <c r="AH229" s="20" t="s">
        <v>73</v>
      </c>
      <c r="AI229" s="144">
        <f>ROUND(L229*K229,2)</f>
        <v>0</v>
      </c>
      <c r="AJ229" s="20" t="s">
        <v>163</v>
      </c>
      <c r="AK229" s="20" t="s">
        <v>414</v>
      </c>
    </row>
    <row r="230" spans="2:37" s="1" customFormat="1" ht="16.5" customHeight="1">
      <c r="B230" s="135"/>
      <c r="C230" s="136" t="s">
        <v>174</v>
      </c>
      <c r="D230" s="136" t="s">
        <v>125</v>
      </c>
      <c r="E230" s="137" t="s">
        <v>221</v>
      </c>
      <c r="F230" s="258" t="s">
        <v>222</v>
      </c>
      <c r="G230" s="258"/>
      <c r="H230" s="258"/>
      <c r="I230" s="258"/>
      <c r="J230" s="138" t="s">
        <v>138</v>
      </c>
      <c r="K230" s="139">
        <v>78.5</v>
      </c>
      <c r="L230" s="251">
        <v>0</v>
      </c>
      <c r="M230" s="251"/>
      <c r="N230" s="251">
        <f>ROUND(L230*K230,2)</f>
        <v>0</v>
      </c>
      <c r="O230" s="251"/>
      <c r="P230" s="251"/>
      <c r="Q230" s="251"/>
      <c r="R230" s="140"/>
      <c r="T230" s="141" t="s">
        <v>5</v>
      </c>
      <c r="U230" s="42" t="s">
        <v>37</v>
      </c>
      <c r="V230" s="142">
        <v>0.14699999999999999</v>
      </c>
      <c r="W230" s="142">
        <f>V230*K230</f>
        <v>11.539499999999999</v>
      </c>
      <c r="X230" s="142">
        <v>0</v>
      </c>
      <c r="Y230" s="142">
        <f>X230*K230</f>
        <v>0</v>
      </c>
      <c r="Z230" s="142">
        <v>3.9399999999999999E-3</v>
      </c>
      <c r="AA230" s="143">
        <f>Z230*K230</f>
        <v>0.30929000000000001</v>
      </c>
      <c r="AE230" s="144">
        <f>IF(U230="zákl. přenesená",N230,0)</f>
        <v>0</v>
      </c>
      <c r="AF230" s="144">
        <f>IF(U230="sníž. přenesená",N230,0)</f>
        <v>0</v>
      </c>
      <c r="AG230" s="144">
        <f>IF(U230="nulová",N230,0)</f>
        <v>0</v>
      </c>
      <c r="AH230" s="20" t="s">
        <v>73</v>
      </c>
      <c r="AI230" s="144">
        <f>ROUND(L230*K230,2)</f>
        <v>0</v>
      </c>
      <c r="AJ230" s="20" t="s">
        <v>163</v>
      </c>
      <c r="AK230" s="20" t="s">
        <v>415</v>
      </c>
    </row>
    <row r="231" spans="2:37" s="1" customFormat="1" ht="25.5" customHeight="1">
      <c r="B231" s="135"/>
      <c r="C231" s="136" t="s">
        <v>177</v>
      </c>
      <c r="D231" s="136" t="s">
        <v>125</v>
      </c>
      <c r="E231" s="137" t="s">
        <v>226</v>
      </c>
      <c r="F231" s="258" t="s">
        <v>416</v>
      </c>
      <c r="G231" s="258"/>
      <c r="H231" s="258"/>
      <c r="I231" s="258"/>
      <c r="J231" s="138" t="s">
        <v>138</v>
      </c>
      <c r="K231" s="139">
        <f>K258</f>
        <v>108.94999999999999</v>
      </c>
      <c r="L231" s="251">
        <v>0</v>
      </c>
      <c r="M231" s="251"/>
      <c r="N231" s="251">
        <f>ROUND(L231*K231,2)</f>
        <v>0</v>
      </c>
      <c r="O231" s="251"/>
      <c r="P231" s="251"/>
      <c r="Q231" s="251"/>
      <c r="R231" s="140"/>
      <c r="T231" s="141" t="s">
        <v>5</v>
      </c>
      <c r="U231" s="42" t="s">
        <v>37</v>
      </c>
      <c r="V231" s="142">
        <v>0.36299999999999999</v>
      </c>
      <c r="W231" s="142">
        <f>V231*K231</f>
        <v>39.548849999999995</v>
      </c>
      <c r="X231" s="142">
        <v>3.15E-3</v>
      </c>
      <c r="Y231" s="142">
        <f>X231*K231</f>
        <v>0.34319249999999996</v>
      </c>
      <c r="Z231" s="142">
        <v>0</v>
      </c>
      <c r="AA231" s="143">
        <f>Z231*K231</f>
        <v>0</v>
      </c>
      <c r="AE231" s="144">
        <f>IF(U231="zákl. přenesená",N231,0)</f>
        <v>0</v>
      </c>
      <c r="AF231" s="144">
        <f>IF(U231="sníž. přenesená",N231,0)</f>
        <v>0</v>
      </c>
      <c r="AG231" s="144">
        <f>IF(U231="nulová",N231,0)</f>
        <v>0</v>
      </c>
      <c r="AH231" s="20" t="s">
        <v>73</v>
      </c>
      <c r="AI231" s="144">
        <f>ROUND(L231*K231,2)</f>
        <v>0</v>
      </c>
      <c r="AJ231" s="20" t="s">
        <v>163</v>
      </c>
      <c r="AK231" s="20" t="s">
        <v>417</v>
      </c>
    </row>
    <row r="232" spans="2:37" s="10" customFormat="1" ht="25.5" customHeight="1">
      <c r="B232" s="145"/>
      <c r="C232" s="146"/>
      <c r="D232" s="146"/>
      <c r="E232" s="147" t="s">
        <v>5</v>
      </c>
      <c r="F232" s="261" t="s">
        <v>453</v>
      </c>
      <c r="G232" s="262"/>
      <c r="H232" s="262"/>
      <c r="I232" s="262"/>
      <c r="J232" s="146"/>
      <c r="K232" s="147" t="s">
        <v>5</v>
      </c>
      <c r="L232" s="146"/>
      <c r="M232" s="146"/>
      <c r="N232" s="146"/>
      <c r="O232" s="146"/>
      <c r="P232" s="146"/>
      <c r="Q232" s="146"/>
      <c r="R232" s="148"/>
      <c r="T232" s="149"/>
      <c r="U232" s="146"/>
      <c r="V232" s="146"/>
      <c r="W232" s="146"/>
      <c r="X232" s="146"/>
      <c r="Y232" s="146"/>
      <c r="Z232" s="146"/>
      <c r="AA232" s="150"/>
    </row>
    <row r="233" spans="2:37" s="11" customFormat="1" ht="16.5" customHeight="1">
      <c r="B233" s="152"/>
      <c r="C233" s="153"/>
      <c r="D233" s="153"/>
      <c r="E233" s="154" t="s">
        <v>5</v>
      </c>
      <c r="F233" s="252" t="s">
        <v>471</v>
      </c>
      <c r="G233" s="253"/>
      <c r="H233" s="253"/>
      <c r="I233" s="253"/>
      <c r="J233" s="153"/>
      <c r="K233" s="155">
        <f>7*1*2</f>
        <v>14</v>
      </c>
      <c r="L233" s="153"/>
      <c r="M233" s="153"/>
      <c r="N233" s="153"/>
      <c r="O233" s="153"/>
      <c r="P233" s="153"/>
      <c r="Q233" s="153"/>
      <c r="R233" s="156"/>
      <c r="T233" s="157"/>
      <c r="U233" s="153"/>
      <c r="V233" s="153"/>
      <c r="W233" s="153"/>
      <c r="X233" s="153"/>
      <c r="Y233" s="153"/>
      <c r="Z233" s="153"/>
      <c r="AA233" s="158"/>
    </row>
    <row r="234" spans="2:37" s="10" customFormat="1" ht="25.5" customHeight="1">
      <c r="B234" s="145"/>
      <c r="C234" s="146"/>
      <c r="D234" s="146"/>
      <c r="E234" s="147" t="s">
        <v>5</v>
      </c>
      <c r="F234" s="259" t="s">
        <v>454</v>
      </c>
      <c r="G234" s="260"/>
      <c r="H234" s="260"/>
      <c r="I234" s="260"/>
      <c r="J234" s="146"/>
      <c r="K234" s="147" t="s">
        <v>5</v>
      </c>
      <c r="L234" s="146"/>
      <c r="M234" s="146"/>
      <c r="N234" s="146"/>
      <c r="O234" s="146"/>
      <c r="P234" s="146"/>
      <c r="Q234" s="146"/>
      <c r="R234" s="148"/>
      <c r="T234" s="149"/>
      <c r="U234" s="146"/>
      <c r="V234" s="146"/>
      <c r="W234" s="146"/>
      <c r="X234" s="146"/>
      <c r="Y234" s="146"/>
      <c r="Z234" s="146"/>
      <c r="AA234" s="150"/>
    </row>
    <row r="235" spans="2:37" s="11" customFormat="1" ht="16.5" customHeight="1">
      <c r="B235" s="152"/>
      <c r="C235" s="153"/>
      <c r="D235" s="153"/>
      <c r="E235" s="154" t="s">
        <v>5</v>
      </c>
      <c r="F235" s="252" t="s">
        <v>455</v>
      </c>
      <c r="G235" s="253"/>
      <c r="H235" s="253"/>
      <c r="I235" s="253"/>
      <c r="J235" s="153"/>
      <c r="K235" s="155">
        <f>8*0.85</f>
        <v>6.8</v>
      </c>
      <c r="L235" s="153"/>
      <c r="M235" s="153"/>
      <c r="N235" s="153"/>
      <c r="O235" s="153"/>
      <c r="P235" s="153"/>
      <c r="Q235" s="153"/>
      <c r="R235" s="156"/>
      <c r="T235" s="157"/>
      <c r="U235" s="153"/>
      <c r="V235" s="153"/>
      <c r="W235" s="153"/>
      <c r="X235" s="153"/>
      <c r="Y235" s="153"/>
      <c r="Z235" s="153"/>
      <c r="AA235" s="158"/>
    </row>
    <row r="236" spans="2:37" s="10" customFormat="1" ht="25.5" customHeight="1">
      <c r="B236" s="145"/>
      <c r="C236" s="146"/>
      <c r="D236" s="146"/>
      <c r="E236" s="147" t="s">
        <v>5</v>
      </c>
      <c r="F236" s="259" t="s">
        <v>456</v>
      </c>
      <c r="G236" s="260"/>
      <c r="H236" s="260"/>
      <c r="I236" s="260"/>
      <c r="J236" s="146"/>
      <c r="K236" s="147" t="s">
        <v>5</v>
      </c>
      <c r="L236" s="146"/>
      <c r="M236" s="146"/>
      <c r="N236" s="146"/>
      <c r="O236" s="146"/>
      <c r="P236" s="146"/>
      <c r="Q236" s="146"/>
      <c r="R236" s="148"/>
      <c r="T236" s="149"/>
      <c r="U236" s="146"/>
      <c r="V236" s="146"/>
      <c r="W236" s="146"/>
      <c r="X236" s="146"/>
      <c r="Y236" s="146"/>
      <c r="Z236" s="146"/>
      <c r="AA236" s="150"/>
    </row>
    <row r="237" spans="2:37" s="11" customFormat="1" ht="16.5" customHeight="1">
      <c r="B237" s="152"/>
      <c r="C237" s="153"/>
      <c r="D237" s="153"/>
      <c r="E237" s="154" t="s">
        <v>5</v>
      </c>
      <c r="F237" s="252" t="s">
        <v>457</v>
      </c>
      <c r="G237" s="253"/>
      <c r="H237" s="253"/>
      <c r="I237" s="253"/>
      <c r="J237" s="153"/>
      <c r="K237" s="155">
        <f>7*1.25</f>
        <v>8.75</v>
      </c>
      <c r="L237" s="153"/>
      <c r="M237" s="153"/>
      <c r="N237" s="153"/>
      <c r="O237" s="153"/>
      <c r="P237" s="153"/>
      <c r="Q237" s="153"/>
      <c r="R237" s="156"/>
      <c r="T237" s="157"/>
      <c r="U237" s="153"/>
      <c r="V237" s="153"/>
      <c r="W237" s="153"/>
      <c r="X237" s="153"/>
      <c r="Y237" s="153"/>
      <c r="Z237" s="153"/>
      <c r="AA237" s="158"/>
    </row>
    <row r="238" spans="2:37" s="10" customFormat="1" ht="25.5" customHeight="1">
      <c r="B238" s="145"/>
      <c r="C238" s="146"/>
      <c r="D238" s="146"/>
      <c r="E238" s="147" t="s">
        <v>5</v>
      </c>
      <c r="F238" s="259" t="s">
        <v>458</v>
      </c>
      <c r="G238" s="260"/>
      <c r="H238" s="260"/>
      <c r="I238" s="260"/>
      <c r="J238" s="146"/>
      <c r="K238" s="147" t="s">
        <v>5</v>
      </c>
      <c r="L238" s="146"/>
      <c r="M238" s="146"/>
      <c r="N238" s="146"/>
      <c r="O238" s="146"/>
      <c r="P238" s="146"/>
      <c r="Q238" s="146"/>
      <c r="R238" s="148"/>
      <c r="T238" s="149"/>
      <c r="U238" s="146"/>
      <c r="V238" s="146"/>
      <c r="W238" s="146"/>
      <c r="X238" s="146"/>
      <c r="Y238" s="146"/>
      <c r="Z238" s="146"/>
      <c r="AA238" s="150"/>
    </row>
    <row r="239" spans="2:37" s="11" customFormat="1" ht="16.5" customHeight="1">
      <c r="B239" s="152"/>
      <c r="C239" s="153"/>
      <c r="D239" s="153"/>
      <c r="E239" s="154" t="s">
        <v>5</v>
      </c>
      <c r="F239" s="252" t="s">
        <v>459</v>
      </c>
      <c r="G239" s="253"/>
      <c r="H239" s="253"/>
      <c r="I239" s="253"/>
      <c r="J239" s="153"/>
      <c r="K239" s="155">
        <f>3*2.1</f>
        <v>6.3000000000000007</v>
      </c>
      <c r="L239" s="153"/>
      <c r="M239" s="153"/>
      <c r="N239" s="153"/>
      <c r="O239" s="153"/>
      <c r="P239" s="153"/>
      <c r="Q239" s="153"/>
      <c r="R239" s="156"/>
      <c r="T239" s="157"/>
      <c r="U239" s="153"/>
      <c r="V239" s="153"/>
      <c r="W239" s="153"/>
      <c r="X239" s="153"/>
      <c r="Y239" s="153"/>
      <c r="Z239" s="153"/>
      <c r="AA239" s="158"/>
    </row>
    <row r="240" spans="2:37" s="10" customFormat="1" ht="25.5" customHeight="1">
      <c r="B240" s="145"/>
      <c r="C240" s="146"/>
      <c r="D240" s="146"/>
      <c r="E240" s="147" t="s">
        <v>5</v>
      </c>
      <c r="F240" s="259" t="s">
        <v>460</v>
      </c>
      <c r="G240" s="260"/>
      <c r="H240" s="260"/>
      <c r="I240" s="260"/>
      <c r="J240" s="146"/>
      <c r="K240" s="147" t="s">
        <v>5</v>
      </c>
      <c r="L240" s="146"/>
      <c r="M240" s="146"/>
      <c r="N240" s="146"/>
      <c r="O240" s="146"/>
      <c r="P240" s="146"/>
      <c r="Q240" s="146"/>
      <c r="R240" s="148"/>
      <c r="T240" s="149"/>
      <c r="U240" s="146"/>
      <c r="V240" s="146"/>
      <c r="W240" s="146"/>
      <c r="X240" s="146"/>
      <c r="Y240" s="146"/>
      <c r="Z240" s="146"/>
      <c r="AA240" s="150"/>
    </row>
    <row r="241" spans="2:27" s="11" customFormat="1" ht="16.5" customHeight="1">
      <c r="B241" s="152"/>
      <c r="C241" s="153"/>
      <c r="D241" s="153"/>
      <c r="E241" s="154" t="s">
        <v>5</v>
      </c>
      <c r="F241" s="252" t="s">
        <v>472</v>
      </c>
      <c r="G241" s="253"/>
      <c r="H241" s="253"/>
      <c r="I241" s="253"/>
      <c r="J241" s="153"/>
      <c r="K241" s="155">
        <f>3*3.2*2</f>
        <v>19.200000000000003</v>
      </c>
      <c r="L241" s="153"/>
      <c r="M241" s="153"/>
      <c r="N241" s="153"/>
      <c r="O241" s="153"/>
      <c r="P241" s="153"/>
      <c r="Q241" s="153"/>
      <c r="R241" s="156"/>
      <c r="T241" s="157"/>
      <c r="U241" s="153"/>
      <c r="V241" s="153"/>
      <c r="W241" s="153"/>
      <c r="X241" s="153"/>
      <c r="Y241" s="153"/>
      <c r="Z241" s="153"/>
      <c r="AA241" s="158"/>
    </row>
    <row r="242" spans="2:27" s="10" customFormat="1" ht="25.5" customHeight="1">
      <c r="B242" s="145"/>
      <c r="C242" s="146"/>
      <c r="D242" s="146"/>
      <c r="E242" s="147" t="s">
        <v>5</v>
      </c>
      <c r="F242" s="259" t="s">
        <v>461</v>
      </c>
      <c r="G242" s="260"/>
      <c r="H242" s="260"/>
      <c r="I242" s="260"/>
      <c r="J242" s="146"/>
      <c r="K242" s="147" t="s">
        <v>5</v>
      </c>
      <c r="L242" s="146"/>
      <c r="M242" s="146"/>
      <c r="N242" s="146"/>
      <c r="O242" s="146"/>
      <c r="P242" s="146"/>
      <c r="Q242" s="146"/>
      <c r="R242" s="148"/>
      <c r="T242" s="149"/>
      <c r="U242" s="146"/>
      <c r="V242" s="146"/>
      <c r="W242" s="146"/>
      <c r="X242" s="146"/>
      <c r="Y242" s="146"/>
      <c r="Z242" s="146"/>
      <c r="AA242" s="150"/>
    </row>
    <row r="243" spans="2:27" s="11" customFormat="1" ht="16.5" customHeight="1">
      <c r="B243" s="152"/>
      <c r="C243" s="153"/>
      <c r="D243" s="153"/>
      <c r="E243" s="154" t="s">
        <v>5</v>
      </c>
      <c r="F243" s="252" t="s">
        <v>462</v>
      </c>
      <c r="G243" s="253"/>
      <c r="H243" s="253"/>
      <c r="I243" s="253"/>
      <c r="J243" s="153"/>
      <c r="K243" s="155">
        <f>10*2.15</f>
        <v>21.5</v>
      </c>
      <c r="L243" s="153"/>
      <c r="M243" s="153"/>
      <c r="N243" s="153"/>
      <c r="O243" s="153"/>
      <c r="P243" s="153"/>
      <c r="Q243" s="153"/>
      <c r="R243" s="156"/>
      <c r="T243" s="157"/>
      <c r="U243" s="153"/>
      <c r="V243" s="153"/>
      <c r="W243" s="153"/>
      <c r="X243" s="153"/>
      <c r="Y243" s="153"/>
      <c r="Z243" s="153"/>
      <c r="AA243" s="158"/>
    </row>
    <row r="244" spans="2:27" s="10" customFormat="1" ht="25.5" customHeight="1">
      <c r="B244" s="145"/>
      <c r="C244" s="146"/>
      <c r="D244" s="146"/>
      <c r="E244" s="147" t="s">
        <v>5</v>
      </c>
      <c r="F244" s="259" t="s">
        <v>463</v>
      </c>
      <c r="G244" s="260"/>
      <c r="H244" s="260"/>
      <c r="I244" s="260"/>
      <c r="J244" s="146"/>
      <c r="K244" s="147" t="s">
        <v>5</v>
      </c>
      <c r="L244" s="146"/>
      <c r="M244" s="146"/>
      <c r="N244" s="146"/>
      <c r="O244" s="146"/>
      <c r="P244" s="146"/>
      <c r="Q244" s="146"/>
      <c r="R244" s="148"/>
      <c r="T244" s="149"/>
      <c r="U244" s="146"/>
      <c r="V244" s="146"/>
      <c r="W244" s="146"/>
      <c r="X244" s="146"/>
      <c r="Y244" s="146"/>
      <c r="Z244" s="146"/>
      <c r="AA244" s="150"/>
    </row>
    <row r="245" spans="2:27" s="11" customFormat="1" ht="16.5" customHeight="1">
      <c r="B245" s="152"/>
      <c r="C245" s="153"/>
      <c r="D245" s="153"/>
      <c r="E245" s="154" t="s">
        <v>5</v>
      </c>
      <c r="F245" s="252" t="s">
        <v>464</v>
      </c>
      <c r="G245" s="253"/>
      <c r="H245" s="253"/>
      <c r="I245" s="253"/>
      <c r="J245" s="153"/>
      <c r="K245" s="155">
        <f>3*0.9</f>
        <v>2.7</v>
      </c>
      <c r="L245" s="153"/>
      <c r="M245" s="153"/>
      <c r="N245" s="153"/>
      <c r="O245" s="153"/>
      <c r="P245" s="153"/>
      <c r="Q245" s="153"/>
      <c r="R245" s="156"/>
      <c r="T245" s="157"/>
      <c r="U245" s="153"/>
      <c r="V245" s="153"/>
      <c r="W245" s="153"/>
      <c r="X245" s="153"/>
      <c r="Y245" s="153"/>
      <c r="Z245" s="153"/>
      <c r="AA245" s="158"/>
    </row>
    <row r="246" spans="2:27" s="10" customFormat="1" ht="25.5" customHeight="1">
      <c r="B246" s="145"/>
      <c r="C246" s="146"/>
      <c r="D246" s="146"/>
      <c r="E246" s="147" t="s">
        <v>5</v>
      </c>
      <c r="F246" s="259" t="s">
        <v>465</v>
      </c>
      <c r="G246" s="260"/>
      <c r="H246" s="260"/>
      <c r="I246" s="260"/>
      <c r="J246" s="146"/>
      <c r="K246" s="147" t="s">
        <v>5</v>
      </c>
      <c r="L246" s="146"/>
      <c r="M246" s="146"/>
      <c r="N246" s="146"/>
      <c r="O246" s="146"/>
      <c r="P246" s="146"/>
      <c r="Q246" s="146"/>
      <c r="R246" s="148"/>
      <c r="T246" s="149"/>
      <c r="U246" s="146"/>
      <c r="V246" s="146"/>
      <c r="W246" s="146"/>
      <c r="X246" s="146"/>
      <c r="Y246" s="146"/>
      <c r="Z246" s="146"/>
      <c r="AA246" s="150"/>
    </row>
    <row r="247" spans="2:27" s="11" customFormat="1" ht="16.5" customHeight="1">
      <c r="B247" s="152"/>
      <c r="C247" s="153"/>
      <c r="D247" s="153"/>
      <c r="E247" s="154" t="s">
        <v>5</v>
      </c>
      <c r="F247" s="252" t="s">
        <v>466</v>
      </c>
      <c r="G247" s="253"/>
      <c r="H247" s="253"/>
      <c r="I247" s="253"/>
      <c r="J247" s="153"/>
      <c r="K247" s="155">
        <f>8*0.6</f>
        <v>4.8</v>
      </c>
      <c r="L247" s="153"/>
      <c r="M247" s="153"/>
      <c r="N247" s="153"/>
      <c r="O247" s="153"/>
      <c r="P247" s="153"/>
      <c r="Q247" s="153"/>
      <c r="R247" s="156"/>
      <c r="T247" s="157"/>
      <c r="U247" s="153"/>
      <c r="V247" s="153"/>
      <c r="W247" s="153"/>
      <c r="X247" s="153"/>
      <c r="Y247" s="153"/>
      <c r="Z247" s="153"/>
      <c r="AA247" s="158"/>
    </row>
    <row r="248" spans="2:27" s="10" customFormat="1" ht="25.5" customHeight="1">
      <c r="B248" s="145"/>
      <c r="C248" s="146"/>
      <c r="D248" s="146"/>
      <c r="E248" s="147" t="s">
        <v>5</v>
      </c>
      <c r="F248" s="259" t="s">
        <v>467</v>
      </c>
      <c r="G248" s="260"/>
      <c r="H248" s="260"/>
      <c r="I248" s="260"/>
      <c r="J248" s="146"/>
      <c r="K248" s="147" t="s">
        <v>5</v>
      </c>
      <c r="L248" s="146"/>
      <c r="M248" s="146"/>
      <c r="N248" s="146"/>
      <c r="O248" s="146"/>
      <c r="P248" s="146"/>
      <c r="Q248" s="146"/>
      <c r="R248" s="148"/>
      <c r="T248" s="149"/>
      <c r="U248" s="146"/>
      <c r="V248" s="146"/>
      <c r="W248" s="146"/>
      <c r="X248" s="146"/>
      <c r="Y248" s="146"/>
      <c r="Z248" s="146"/>
      <c r="AA248" s="150"/>
    </row>
    <row r="249" spans="2:27" s="11" customFormat="1" ht="16.5" customHeight="1">
      <c r="B249" s="152"/>
      <c r="C249" s="153"/>
      <c r="D249" s="153"/>
      <c r="E249" s="154" t="s">
        <v>5</v>
      </c>
      <c r="F249" s="252" t="s">
        <v>468</v>
      </c>
      <c r="G249" s="253"/>
      <c r="H249" s="253"/>
      <c r="I249" s="253"/>
      <c r="J249" s="153"/>
      <c r="K249" s="155">
        <f>9*1.55</f>
        <v>13.950000000000001</v>
      </c>
      <c r="L249" s="153"/>
      <c r="M249" s="153"/>
      <c r="N249" s="153"/>
      <c r="O249" s="153"/>
      <c r="P249" s="153"/>
      <c r="Q249" s="153"/>
      <c r="R249" s="156"/>
      <c r="T249" s="157"/>
      <c r="U249" s="153"/>
      <c r="V249" s="153"/>
      <c r="W249" s="153"/>
      <c r="X249" s="153"/>
      <c r="Y249" s="153"/>
      <c r="Z249" s="153"/>
      <c r="AA249" s="158"/>
    </row>
    <row r="250" spans="2:27" s="10" customFormat="1" ht="25.5" customHeight="1">
      <c r="B250" s="145"/>
      <c r="C250" s="146"/>
      <c r="D250" s="146"/>
      <c r="E250" s="147" t="s">
        <v>5</v>
      </c>
      <c r="F250" s="259" t="s">
        <v>469</v>
      </c>
      <c r="G250" s="260"/>
      <c r="H250" s="260"/>
      <c r="I250" s="260"/>
      <c r="J250" s="146"/>
      <c r="K250" s="147" t="s">
        <v>5</v>
      </c>
      <c r="L250" s="146"/>
      <c r="M250" s="146"/>
      <c r="N250" s="146"/>
      <c r="O250" s="146"/>
      <c r="P250" s="146"/>
      <c r="Q250" s="146"/>
      <c r="R250" s="148"/>
      <c r="T250" s="149"/>
      <c r="U250" s="146"/>
      <c r="V250" s="146"/>
      <c r="W250" s="146"/>
      <c r="X250" s="146"/>
      <c r="Y250" s="146"/>
      <c r="Z250" s="146"/>
      <c r="AA250" s="150"/>
    </row>
    <row r="251" spans="2:27" s="11" customFormat="1" ht="16.5" customHeight="1">
      <c r="B251" s="152"/>
      <c r="C251" s="153"/>
      <c r="D251" s="153"/>
      <c r="E251" s="154" t="s">
        <v>5</v>
      </c>
      <c r="F251" s="252" t="s">
        <v>470</v>
      </c>
      <c r="G251" s="253"/>
      <c r="H251" s="253"/>
      <c r="I251" s="253"/>
      <c r="J251" s="153"/>
      <c r="K251" s="155">
        <f>3*1.65</f>
        <v>4.9499999999999993</v>
      </c>
      <c r="L251" s="153"/>
      <c r="M251" s="153"/>
      <c r="N251" s="153"/>
      <c r="O251" s="153"/>
      <c r="P251" s="153"/>
      <c r="Q251" s="153"/>
      <c r="R251" s="156"/>
      <c r="T251" s="157"/>
      <c r="U251" s="153"/>
      <c r="V251" s="153"/>
      <c r="W251" s="153"/>
      <c r="X251" s="153"/>
      <c r="Y251" s="153"/>
      <c r="Z251" s="153"/>
      <c r="AA251" s="158"/>
    </row>
    <row r="252" spans="2:27" s="10" customFormat="1" ht="25.5" customHeight="1">
      <c r="B252" s="145"/>
      <c r="C252" s="146"/>
      <c r="D252" s="146"/>
      <c r="E252" s="147" t="s">
        <v>5</v>
      </c>
      <c r="F252" s="259" t="s">
        <v>227</v>
      </c>
      <c r="G252" s="260"/>
      <c r="H252" s="260"/>
      <c r="I252" s="260"/>
      <c r="J252" s="146"/>
      <c r="K252" s="147" t="s">
        <v>5</v>
      </c>
      <c r="L252" s="146"/>
      <c r="M252" s="146"/>
      <c r="N252" s="146"/>
      <c r="O252" s="146"/>
      <c r="P252" s="146"/>
      <c r="Q252" s="146"/>
      <c r="R252" s="148"/>
      <c r="T252" s="149"/>
      <c r="U252" s="146"/>
      <c r="V252" s="146"/>
      <c r="W252" s="146"/>
      <c r="X252" s="146"/>
      <c r="Y252" s="146"/>
      <c r="Z252" s="146"/>
      <c r="AA252" s="150"/>
    </row>
    <row r="253" spans="2:27" s="11" customFormat="1" ht="16.5" customHeight="1">
      <c r="B253" s="152"/>
      <c r="C253" s="153"/>
      <c r="D253" s="153"/>
      <c r="E253" s="154" t="s">
        <v>5</v>
      </c>
      <c r="F253" s="252" t="s">
        <v>216</v>
      </c>
      <c r="G253" s="253"/>
      <c r="H253" s="253"/>
      <c r="I253" s="253"/>
      <c r="J253" s="153"/>
      <c r="K253" s="155">
        <v>1.53</v>
      </c>
      <c r="L253" s="153"/>
      <c r="M253" s="153"/>
      <c r="N253" s="153"/>
      <c r="O253" s="153"/>
      <c r="P253" s="153"/>
      <c r="Q253" s="153"/>
      <c r="R253" s="156"/>
      <c r="T253" s="157"/>
      <c r="U253" s="153"/>
      <c r="V253" s="153"/>
      <c r="W253" s="153"/>
      <c r="X253" s="153"/>
      <c r="Y253" s="153"/>
      <c r="Z253" s="153"/>
      <c r="AA253" s="158"/>
    </row>
    <row r="254" spans="2:27" s="10" customFormat="1" ht="25.5" customHeight="1">
      <c r="B254" s="145"/>
      <c r="C254" s="146"/>
      <c r="D254" s="146"/>
      <c r="E254" s="147" t="s">
        <v>5</v>
      </c>
      <c r="F254" s="259" t="s">
        <v>228</v>
      </c>
      <c r="G254" s="260"/>
      <c r="H254" s="260"/>
      <c r="I254" s="260"/>
      <c r="J254" s="146"/>
      <c r="K254" s="147" t="s">
        <v>5</v>
      </c>
      <c r="L254" s="146"/>
      <c r="M254" s="146"/>
      <c r="N254" s="146"/>
      <c r="O254" s="146"/>
      <c r="P254" s="146"/>
      <c r="Q254" s="146"/>
      <c r="R254" s="148"/>
      <c r="T254" s="149"/>
      <c r="U254" s="146"/>
      <c r="V254" s="146"/>
      <c r="W254" s="146"/>
      <c r="X254" s="146"/>
      <c r="Y254" s="146"/>
      <c r="Z254" s="146"/>
      <c r="AA254" s="150"/>
    </row>
    <row r="255" spans="2:27" s="11" customFormat="1" ht="16.5" customHeight="1">
      <c r="B255" s="152"/>
      <c r="C255" s="153"/>
      <c r="D255" s="153"/>
      <c r="E255" s="154" t="s">
        <v>5</v>
      </c>
      <c r="F255" s="252" t="s">
        <v>217</v>
      </c>
      <c r="G255" s="253"/>
      <c r="H255" s="253"/>
      <c r="I255" s="253"/>
      <c r="J255" s="153"/>
      <c r="K255" s="155">
        <v>3</v>
      </c>
      <c r="L255" s="153"/>
      <c r="M255" s="153"/>
      <c r="N255" s="153"/>
      <c r="O255" s="153"/>
      <c r="P255" s="153"/>
      <c r="Q255" s="153"/>
      <c r="R255" s="156"/>
      <c r="T255" s="157"/>
      <c r="U255" s="153"/>
      <c r="V255" s="153"/>
      <c r="W255" s="153"/>
      <c r="X255" s="153"/>
      <c r="Y255" s="153"/>
      <c r="Z255" s="153"/>
      <c r="AA255" s="158"/>
    </row>
    <row r="256" spans="2:27" s="10" customFormat="1" ht="25.5" customHeight="1">
      <c r="B256" s="145"/>
      <c r="C256" s="146"/>
      <c r="D256" s="146"/>
      <c r="E256" s="147" t="s">
        <v>5</v>
      </c>
      <c r="F256" s="259" t="s">
        <v>229</v>
      </c>
      <c r="G256" s="260"/>
      <c r="H256" s="260"/>
      <c r="I256" s="260"/>
      <c r="J256" s="146"/>
      <c r="K256" s="147" t="s">
        <v>5</v>
      </c>
      <c r="L256" s="146"/>
      <c r="M256" s="146"/>
      <c r="N256" s="146"/>
      <c r="O256" s="146"/>
      <c r="P256" s="146"/>
      <c r="Q256" s="146"/>
      <c r="R256" s="148"/>
      <c r="T256" s="149"/>
      <c r="U256" s="146"/>
      <c r="V256" s="146"/>
      <c r="W256" s="146"/>
      <c r="X256" s="146"/>
      <c r="Y256" s="146"/>
      <c r="Z256" s="146"/>
      <c r="AA256" s="150"/>
    </row>
    <row r="257" spans="2:37" s="11" customFormat="1" ht="16.5" customHeight="1">
      <c r="B257" s="152"/>
      <c r="C257" s="153"/>
      <c r="D257" s="153"/>
      <c r="E257" s="154" t="s">
        <v>5</v>
      </c>
      <c r="F257" s="252" t="s">
        <v>218</v>
      </c>
      <c r="G257" s="253"/>
      <c r="H257" s="253"/>
      <c r="I257" s="253"/>
      <c r="J257" s="153"/>
      <c r="K257" s="155">
        <v>1.47</v>
      </c>
      <c r="L257" s="153"/>
      <c r="M257" s="153"/>
      <c r="N257" s="153"/>
      <c r="O257" s="153"/>
      <c r="P257" s="153"/>
      <c r="Q257" s="153"/>
      <c r="R257" s="156"/>
      <c r="T257" s="157"/>
      <c r="U257" s="153"/>
      <c r="V257" s="153"/>
      <c r="W257" s="153"/>
      <c r="X257" s="153"/>
      <c r="Y257" s="153"/>
      <c r="Z257" s="153"/>
      <c r="AA257" s="158"/>
    </row>
    <row r="258" spans="2:37" s="12" customFormat="1" ht="16.5" customHeight="1">
      <c r="B258" s="160"/>
      <c r="C258" s="161"/>
      <c r="D258" s="161"/>
      <c r="E258" s="162" t="s">
        <v>5</v>
      </c>
      <c r="F258" s="256" t="s">
        <v>128</v>
      </c>
      <c r="G258" s="257"/>
      <c r="H258" s="257"/>
      <c r="I258" s="257"/>
      <c r="J258" s="161"/>
      <c r="K258" s="163">
        <f>K257+K255+K253+K251+K249+K247+K245+K243+K241+K239+K237+K235+K233</f>
        <v>108.94999999999999</v>
      </c>
      <c r="L258" s="161"/>
      <c r="M258" s="161"/>
      <c r="N258" s="161"/>
      <c r="O258" s="161"/>
      <c r="P258" s="161"/>
      <c r="Q258" s="161"/>
      <c r="R258" s="164"/>
      <c r="T258" s="165"/>
      <c r="U258" s="161"/>
      <c r="V258" s="161"/>
      <c r="W258" s="161"/>
      <c r="X258" s="161"/>
      <c r="Y258" s="161"/>
      <c r="Z258" s="161"/>
      <c r="AA258" s="166"/>
    </row>
    <row r="259" spans="2:37" s="1" customFormat="1" ht="38.25" customHeight="1">
      <c r="B259" s="135"/>
      <c r="C259" s="136" t="s">
        <v>178</v>
      </c>
      <c r="D259" s="136" t="s">
        <v>125</v>
      </c>
      <c r="E259" s="137" t="s">
        <v>231</v>
      </c>
      <c r="F259" s="258" t="s">
        <v>368</v>
      </c>
      <c r="G259" s="258"/>
      <c r="H259" s="258"/>
      <c r="I259" s="258"/>
      <c r="J259" s="138" t="s">
        <v>138</v>
      </c>
      <c r="K259" s="139">
        <v>78.5</v>
      </c>
      <c r="L259" s="251">
        <v>0</v>
      </c>
      <c r="M259" s="251"/>
      <c r="N259" s="251">
        <f>ROUND(L259*K259,2)</f>
        <v>0</v>
      </c>
      <c r="O259" s="251"/>
      <c r="P259" s="251"/>
      <c r="Q259" s="251"/>
      <c r="R259" s="140"/>
      <c r="T259" s="141" t="s">
        <v>5</v>
      </c>
      <c r="U259" s="42" t="s">
        <v>37</v>
      </c>
      <c r="V259" s="142">
        <v>0.33400000000000002</v>
      </c>
      <c r="W259" s="142">
        <f>V259*K259</f>
        <v>26.219000000000001</v>
      </c>
      <c r="X259" s="142">
        <v>2.2300000000000002E-3</v>
      </c>
      <c r="Y259" s="142">
        <f>X259*K259</f>
        <v>0.17505500000000002</v>
      </c>
      <c r="Z259" s="142">
        <v>0</v>
      </c>
      <c r="AA259" s="143">
        <f>Z259*K259</f>
        <v>0</v>
      </c>
      <c r="AE259" s="144">
        <f>IF(U259="zákl. přenesená",N259,0)</f>
        <v>0</v>
      </c>
      <c r="AF259" s="144">
        <f>IF(U259="sníž. přenesená",N259,0)</f>
        <v>0</v>
      </c>
      <c r="AG259" s="144">
        <f>IF(U259="nulová",N259,0)</f>
        <v>0</v>
      </c>
      <c r="AH259" s="20" t="s">
        <v>73</v>
      </c>
      <c r="AI259" s="144">
        <f>ROUND(L259*K259,2)</f>
        <v>0</v>
      </c>
      <c r="AJ259" s="20" t="s">
        <v>163</v>
      </c>
      <c r="AK259" s="20" t="s">
        <v>418</v>
      </c>
    </row>
    <row r="260" spans="2:37" s="1" customFormat="1" ht="25.5" customHeight="1">
      <c r="B260" s="135"/>
      <c r="C260" s="136" t="s">
        <v>8</v>
      </c>
      <c r="D260" s="136" t="s">
        <v>125</v>
      </c>
      <c r="E260" s="137" t="s">
        <v>233</v>
      </c>
      <c r="F260" s="258" t="s">
        <v>234</v>
      </c>
      <c r="G260" s="258"/>
      <c r="H260" s="258"/>
      <c r="I260" s="258"/>
      <c r="J260" s="138" t="s">
        <v>195</v>
      </c>
      <c r="K260" s="139">
        <v>0.755</v>
      </c>
      <c r="L260" s="251">
        <v>0</v>
      </c>
      <c r="M260" s="251"/>
      <c r="N260" s="251">
        <f>ROUND(L260*K260,2)</f>
        <v>0</v>
      </c>
      <c r="O260" s="251"/>
      <c r="P260" s="251"/>
      <c r="Q260" s="251"/>
      <c r="R260" s="140"/>
      <c r="T260" s="141" t="s">
        <v>5</v>
      </c>
      <c r="U260" s="42" t="s">
        <v>37</v>
      </c>
      <c r="V260" s="142">
        <v>4.82</v>
      </c>
      <c r="W260" s="142">
        <f>V260*K260</f>
        <v>3.6391000000000004</v>
      </c>
      <c r="X260" s="142">
        <v>0</v>
      </c>
      <c r="Y260" s="142">
        <f>X260*K260</f>
        <v>0</v>
      </c>
      <c r="Z260" s="142">
        <v>0</v>
      </c>
      <c r="AA260" s="143">
        <f>Z260*K260</f>
        <v>0</v>
      </c>
      <c r="AE260" s="144">
        <f>IF(U260="zákl. přenesená",N260,0)</f>
        <v>0</v>
      </c>
      <c r="AF260" s="144">
        <f>IF(U260="sníž. přenesená",N260,0)</f>
        <v>0</v>
      </c>
      <c r="AG260" s="144">
        <f>IF(U260="nulová",N260,0)</f>
        <v>0</v>
      </c>
      <c r="AH260" s="20" t="s">
        <v>73</v>
      </c>
      <c r="AI260" s="144">
        <f>ROUND(L260*K260,2)</f>
        <v>0</v>
      </c>
      <c r="AJ260" s="20" t="s">
        <v>163</v>
      </c>
      <c r="AK260" s="20" t="s">
        <v>419</v>
      </c>
    </row>
    <row r="261" spans="2:37" s="9" customFormat="1" ht="29.85" customHeight="1">
      <c r="B261" s="125"/>
      <c r="C261" s="126"/>
      <c r="D261" s="134" t="s">
        <v>107</v>
      </c>
      <c r="E261" s="134"/>
      <c r="F261" s="134"/>
      <c r="G261" s="134"/>
      <c r="H261" s="134"/>
      <c r="I261" s="134"/>
      <c r="J261" s="134"/>
      <c r="K261" s="134"/>
      <c r="L261" s="134"/>
      <c r="M261" s="134"/>
      <c r="N261" s="294">
        <f>N262</f>
        <v>0</v>
      </c>
      <c r="O261" s="295"/>
      <c r="P261" s="295"/>
      <c r="Q261" s="295"/>
      <c r="R261" s="128"/>
      <c r="T261" s="129"/>
      <c r="U261" s="126"/>
      <c r="V261" s="126"/>
      <c r="W261" s="130">
        <f>SUM(W262:W263)</f>
        <v>0</v>
      </c>
      <c r="X261" s="126"/>
      <c r="Y261" s="130">
        <f>SUM(Y262:Y263)</f>
        <v>0</v>
      </c>
      <c r="Z261" s="126"/>
      <c r="AA261" s="131">
        <f>SUM(AA262:AA263)</f>
        <v>0</v>
      </c>
      <c r="AI261" s="133">
        <f>SUM(AI262:AI263)</f>
        <v>0</v>
      </c>
    </row>
    <row r="262" spans="2:37" s="1" customFormat="1" ht="16.5" customHeight="1">
      <c r="B262" s="135"/>
      <c r="C262" s="136" t="s">
        <v>186</v>
      </c>
      <c r="D262" s="136" t="s">
        <v>125</v>
      </c>
      <c r="E262" s="137" t="s">
        <v>374</v>
      </c>
      <c r="F262" s="258" t="s">
        <v>420</v>
      </c>
      <c r="G262" s="258"/>
      <c r="H262" s="258"/>
      <c r="I262" s="258"/>
      <c r="J262" s="138" t="s">
        <v>181</v>
      </c>
      <c r="K262" s="139">
        <v>2</v>
      </c>
      <c r="L262" s="251">
        <v>0</v>
      </c>
      <c r="M262" s="251"/>
      <c r="N262" s="251">
        <f>ROUND(L262*K262,2)</f>
        <v>0</v>
      </c>
      <c r="O262" s="251"/>
      <c r="P262" s="251"/>
      <c r="Q262" s="251"/>
      <c r="R262" s="140"/>
      <c r="T262" s="141" t="s">
        <v>5</v>
      </c>
      <c r="U262" s="42" t="s">
        <v>37</v>
      </c>
      <c r="V262" s="142">
        <v>0</v>
      </c>
      <c r="W262" s="142">
        <f>V262*K262</f>
        <v>0</v>
      </c>
      <c r="X262" s="142">
        <v>0</v>
      </c>
      <c r="Y262" s="142">
        <f>X262*K262</f>
        <v>0</v>
      </c>
      <c r="Z262" s="142">
        <v>0</v>
      </c>
      <c r="AA262" s="143">
        <f>Z262*K262</f>
        <v>0</v>
      </c>
      <c r="AE262" s="144">
        <f>IF(U262="zákl. přenesená",N262,0)</f>
        <v>0</v>
      </c>
      <c r="AF262" s="144">
        <f>IF(U262="sníž. přenesená",N262,0)</f>
        <v>0</v>
      </c>
      <c r="AG262" s="144">
        <f>IF(U262="nulová",N262,0)</f>
        <v>0</v>
      </c>
      <c r="AH262" s="20" t="s">
        <v>73</v>
      </c>
      <c r="AI262" s="144">
        <f>ROUND(L262*K262,2)</f>
        <v>0</v>
      </c>
      <c r="AJ262" s="20" t="s">
        <v>163</v>
      </c>
      <c r="AK262" s="20" t="s">
        <v>421</v>
      </c>
    </row>
    <row r="263" spans="2:37" s="1" customFormat="1" ht="84" customHeight="1">
      <c r="B263" s="33"/>
      <c r="C263" s="34"/>
      <c r="D263" s="34"/>
      <c r="E263" s="34"/>
      <c r="F263" s="292" t="s">
        <v>377</v>
      </c>
      <c r="G263" s="293"/>
      <c r="H263" s="293"/>
      <c r="I263" s="293"/>
      <c r="J263" s="34"/>
      <c r="K263" s="34"/>
      <c r="L263" s="34"/>
      <c r="M263" s="34"/>
      <c r="N263" s="34"/>
      <c r="O263" s="34"/>
      <c r="P263" s="34"/>
      <c r="Q263" s="34"/>
      <c r="R263" s="35"/>
      <c r="T263" s="168"/>
      <c r="U263" s="34"/>
      <c r="V263" s="34"/>
      <c r="W263" s="34"/>
      <c r="X263" s="34"/>
      <c r="Y263" s="34"/>
      <c r="Z263" s="34"/>
      <c r="AA263" s="72"/>
    </row>
    <row r="264" spans="2:37" s="9" customFormat="1" ht="29.85" customHeight="1">
      <c r="B264" s="125"/>
      <c r="C264" s="126"/>
      <c r="D264" s="134" t="s">
        <v>108</v>
      </c>
      <c r="E264" s="134"/>
      <c r="F264" s="134"/>
      <c r="G264" s="134"/>
      <c r="H264" s="134"/>
      <c r="I264" s="134"/>
      <c r="J264" s="134"/>
      <c r="K264" s="134"/>
      <c r="L264" s="134"/>
      <c r="M264" s="134"/>
      <c r="N264" s="263">
        <f>N265+N278+N291</f>
        <v>0</v>
      </c>
      <c r="O264" s="264"/>
      <c r="P264" s="264"/>
      <c r="Q264" s="264"/>
      <c r="R264" s="128"/>
      <c r="T264" s="129"/>
      <c r="U264" s="126"/>
      <c r="V264" s="126"/>
      <c r="W264" s="130">
        <f>SUM(W265:W291)</f>
        <v>589.02178800000002</v>
      </c>
      <c r="X264" s="126"/>
      <c r="Y264" s="130">
        <f>SUM(Y265:Y291)</f>
        <v>1.9420064399999999</v>
      </c>
      <c r="Z264" s="126"/>
      <c r="AA264" s="131">
        <f>SUM(AA265:AA291)</f>
        <v>0</v>
      </c>
      <c r="AI264" s="133">
        <f>SUM(AI265:AI291)</f>
        <v>0</v>
      </c>
    </row>
    <row r="265" spans="2:37" s="1" customFormat="1" ht="25.5" customHeight="1">
      <c r="B265" s="135"/>
      <c r="C265" s="136" t="s">
        <v>187</v>
      </c>
      <c r="D265" s="136" t="s">
        <v>125</v>
      </c>
      <c r="E265" s="137" t="s">
        <v>246</v>
      </c>
      <c r="F265" s="258" t="s">
        <v>247</v>
      </c>
      <c r="G265" s="258"/>
      <c r="H265" s="258"/>
      <c r="I265" s="258"/>
      <c r="J265" s="138" t="s">
        <v>126</v>
      </c>
      <c r="K265" s="139">
        <f>K277</f>
        <v>1604.9639999999999</v>
      </c>
      <c r="L265" s="251">
        <v>0</v>
      </c>
      <c r="M265" s="251"/>
      <c r="N265" s="251">
        <f>ROUND(L265*K265,2)</f>
        <v>0</v>
      </c>
      <c r="O265" s="251"/>
      <c r="P265" s="251"/>
      <c r="Q265" s="251"/>
      <c r="R265" s="140"/>
      <c r="T265" s="141" t="s">
        <v>5</v>
      </c>
      <c r="U265" s="42" t="s">
        <v>37</v>
      </c>
      <c r="V265" s="142">
        <v>8.3000000000000004E-2</v>
      </c>
      <c r="W265" s="142">
        <f>V265*K265</f>
        <v>133.21201200000002</v>
      </c>
      <c r="X265" s="142">
        <v>2.1000000000000001E-4</v>
      </c>
      <c r="Y265" s="142">
        <f>X265*K265</f>
        <v>0.33704244</v>
      </c>
      <c r="Z265" s="142">
        <v>0</v>
      </c>
      <c r="AA265" s="143">
        <f>Z265*K265</f>
        <v>0</v>
      </c>
      <c r="AE265" s="144">
        <f>IF(U265="zákl. přenesená",N265,0)</f>
        <v>0</v>
      </c>
      <c r="AF265" s="144">
        <f>IF(U265="sníž. přenesená",N265,0)</f>
        <v>0</v>
      </c>
      <c r="AG265" s="144">
        <f>IF(U265="nulová",N265,0)</f>
        <v>0</v>
      </c>
      <c r="AH265" s="20" t="s">
        <v>73</v>
      </c>
      <c r="AI265" s="144">
        <f>ROUND(L265*K265,2)</f>
        <v>0</v>
      </c>
      <c r="AJ265" s="20" t="s">
        <v>163</v>
      </c>
      <c r="AK265" s="20" t="s">
        <v>422</v>
      </c>
    </row>
    <row r="266" spans="2:37" s="10" customFormat="1" ht="16.5" customHeight="1">
      <c r="B266" s="145"/>
      <c r="C266" s="146"/>
      <c r="D266" s="146"/>
      <c r="E266" s="147" t="s">
        <v>5</v>
      </c>
      <c r="F266" s="261" t="s">
        <v>379</v>
      </c>
      <c r="G266" s="262"/>
      <c r="H266" s="262"/>
      <c r="I266" s="262"/>
      <c r="J266" s="146"/>
      <c r="K266" s="147" t="s">
        <v>5</v>
      </c>
      <c r="L266" s="146"/>
      <c r="M266" s="146"/>
      <c r="N266" s="146"/>
      <c r="O266" s="146"/>
      <c r="P266" s="146"/>
      <c r="Q266" s="146"/>
      <c r="R266" s="148"/>
      <c r="T266" s="149"/>
      <c r="U266" s="146"/>
      <c r="V266" s="146"/>
      <c r="W266" s="146"/>
      <c r="X266" s="146"/>
      <c r="Y266" s="146"/>
      <c r="Z266" s="146"/>
      <c r="AA266" s="150"/>
    </row>
    <row r="267" spans="2:37" s="10" customFormat="1" ht="16.5" customHeight="1">
      <c r="B267" s="145"/>
      <c r="C267" s="146"/>
      <c r="D267" s="146"/>
      <c r="E267" s="147" t="s">
        <v>5</v>
      </c>
      <c r="F267" s="259" t="s">
        <v>334</v>
      </c>
      <c r="G267" s="260"/>
      <c r="H267" s="260"/>
      <c r="I267" s="260"/>
      <c r="J267" s="146"/>
      <c r="K267" s="147" t="s">
        <v>5</v>
      </c>
      <c r="L267" s="146"/>
      <c r="M267" s="146"/>
      <c r="N267" s="146"/>
      <c r="O267" s="146"/>
      <c r="P267" s="146"/>
      <c r="Q267" s="146"/>
      <c r="R267" s="148"/>
      <c r="T267" s="149"/>
      <c r="U267" s="146"/>
      <c r="V267" s="146"/>
      <c r="W267" s="146"/>
      <c r="X267" s="146"/>
      <c r="Y267" s="146"/>
      <c r="Z267" s="146"/>
      <c r="AA267" s="150"/>
    </row>
    <row r="268" spans="2:37" s="11" customFormat="1" ht="25.5" customHeight="1">
      <c r="B268" s="152"/>
      <c r="C268" s="153"/>
      <c r="D268" s="153"/>
      <c r="E268" s="154" t="s">
        <v>5</v>
      </c>
      <c r="F268" s="252" t="s">
        <v>442</v>
      </c>
      <c r="G268" s="253"/>
      <c r="H268" s="253"/>
      <c r="I268" s="253"/>
      <c r="J268" s="153"/>
      <c r="K268" s="155">
        <f>33.51*11.2+3.65*11.2*2-8*0.8*0.4-16*1.25*2.49-1.5*2.65-1.9*3.2-1.9*1</f>
        <v>392.75699999999995</v>
      </c>
      <c r="L268" s="153"/>
      <c r="M268" s="153"/>
      <c r="N268" s="153"/>
      <c r="O268" s="153"/>
      <c r="P268" s="153"/>
      <c r="Q268" s="153"/>
      <c r="R268" s="156"/>
      <c r="T268" s="157"/>
      <c r="U268" s="153"/>
      <c r="V268" s="153"/>
      <c r="W268" s="153"/>
      <c r="X268" s="153"/>
      <c r="Y268" s="153"/>
      <c r="Z268" s="153"/>
      <c r="AA268" s="158"/>
    </row>
    <row r="269" spans="2:37" s="10" customFormat="1" ht="16.5" customHeight="1">
      <c r="B269" s="145"/>
      <c r="C269" s="146"/>
      <c r="D269" s="146"/>
      <c r="E269" s="147" t="s">
        <v>5</v>
      </c>
      <c r="F269" s="259" t="s">
        <v>335</v>
      </c>
      <c r="G269" s="260"/>
      <c r="H269" s="260"/>
      <c r="I269" s="260"/>
      <c r="J269" s="146"/>
      <c r="K269" s="147" t="s">
        <v>5</v>
      </c>
      <c r="L269" s="146"/>
      <c r="M269" s="146"/>
      <c r="N269" s="146"/>
      <c r="O269" s="146"/>
      <c r="P269" s="146"/>
      <c r="Q269" s="146"/>
      <c r="R269" s="148"/>
      <c r="T269" s="149"/>
      <c r="U269" s="146"/>
      <c r="V269" s="146"/>
      <c r="W269" s="146"/>
      <c r="X269" s="146"/>
      <c r="Y269" s="146"/>
      <c r="Z269" s="146"/>
      <c r="AA269" s="150"/>
    </row>
    <row r="270" spans="2:37" s="11" customFormat="1" ht="16.5" customHeight="1">
      <c r="B270" s="152"/>
      <c r="C270" s="153"/>
      <c r="D270" s="153"/>
      <c r="E270" s="154" t="s">
        <v>5</v>
      </c>
      <c r="F270" s="252" t="s">
        <v>443</v>
      </c>
      <c r="G270" s="253"/>
      <c r="H270" s="253"/>
      <c r="I270" s="253"/>
      <c r="J270" s="153"/>
      <c r="K270" s="155">
        <f>17.85*11.2-3*0.8*0.4-2*1.25*2.49</f>
        <v>192.73500000000001</v>
      </c>
      <c r="L270" s="153"/>
      <c r="M270" s="153"/>
      <c r="N270" s="153"/>
      <c r="O270" s="153"/>
      <c r="P270" s="153"/>
      <c r="Q270" s="153"/>
      <c r="R270" s="156"/>
      <c r="T270" s="157"/>
      <c r="U270" s="153"/>
      <c r="V270" s="153"/>
      <c r="W270" s="153"/>
      <c r="X270" s="153"/>
      <c r="Y270" s="153"/>
      <c r="Z270" s="153"/>
      <c r="AA270" s="158"/>
    </row>
    <row r="271" spans="2:37" s="10" customFormat="1" ht="16.5" customHeight="1">
      <c r="B271" s="145"/>
      <c r="C271" s="146"/>
      <c r="D271" s="146"/>
      <c r="E271" s="147" t="s">
        <v>5</v>
      </c>
      <c r="F271" s="259" t="s">
        <v>333</v>
      </c>
      <c r="G271" s="260"/>
      <c r="H271" s="260"/>
      <c r="I271" s="260"/>
      <c r="J271" s="146"/>
      <c r="K271" s="147" t="s">
        <v>5</v>
      </c>
      <c r="L271" s="146"/>
      <c r="M271" s="146"/>
      <c r="N271" s="146"/>
      <c r="O271" s="146"/>
      <c r="P271" s="146"/>
      <c r="Q271" s="146"/>
      <c r="R271" s="148"/>
      <c r="T271" s="149"/>
      <c r="U271" s="146"/>
      <c r="V271" s="146"/>
      <c r="W271" s="146"/>
      <c r="X271" s="146"/>
      <c r="Y271" s="146"/>
      <c r="Z271" s="146"/>
      <c r="AA271" s="150"/>
    </row>
    <row r="272" spans="2:37" s="11" customFormat="1" ht="25.5" customHeight="1">
      <c r="B272" s="152"/>
      <c r="C272" s="153"/>
      <c r="D272" s="153"/>
      <c r="E272" s="154" t="s">
        <v>5</v>
      </c>
      <c r="F272" s="252" t="s">
        <v>444</v>
      </c>
      <c r="G272" s="253"/>
      <c r="H272" s="253"/>
      <c r="I272" s="253"/>
      <c r="J272" s="153"/>
      <c r="K272" s="155">
        <f>33.31*11.2+2.2*11.2+9.68*11.2-3*0.8*0.4-15*1.25*2.49-8*1.05*2.49-1.34*2.4</f>
        <v>434.3485</v>
      </c>
      <c r="L272" s="153"/>
      <c r="M272" s="153"/>
      <c r="N272" s="153"/>
      <c r="O272" s="153"/>
      <c r="P272" s="153"/>
      <c r="Q272" s="153"/>
      <c r="R272" s="156"/>
      <c r="T272" s="157"/>
      <c r="U272" s="153"/>
      <c r="V272" s="153"/>
      <c r="W272" s="153"/>
      <c r="X272" s="153"/>
      <c r="Y272" s="153"/>
      <c r="Z272" s="153"/>
      <c r="AA272" s="158"/>
    </row>
    <row r="273" spans="2:37" s="10" customFormat="1" ht="16.5" customHeight="1">
      <c r="B273" s="145"/>
      <c r="C273" s="146"/>
      <c r="D273" s="146"/>
      <c r="E273" s="147" t="s">
        <v>5</v>
      </c>
      <c r="F273" s="259" t="s">
        <v>332</v>
      </c>
      <c r="G273" s="260"/>
      <c r="H273" s="260"/>
      <c r="I273" s="260"/>
      <c r="J273" s="146"/>
      <c r="K273" s="147" t="s">
        <v>5</v>
      </c>
      <c r="L273" s="146"/>
      <c r="M273" s="146"/>
      <c r="N273" s="146"/>
      <c r="O273" s="146"/>
      <c r="P273" s="146"/>
      <c r="Q273" s="146"/>
      <c r="R273" s="148"/>
      <c r="T273" s="149"/>
      <c r="U273" s="146"/>
      <c r="V273" s="146"/>
      <c r="W273" s="146"/>
      <c r="X273" s="146"/>
      <c r="Y273" s="146"/>
      <c r="Z273" s="146"/>
      <c r="AA273" s="150"/>
    </row>
    <row r="274" spans="2:37" s="11" customFormat="1" ht="25.5" customHeight="1">
      <c r="B274" s="152"/>
      <c r="C274" s="153"/>
      <c r="D274" s="153"/>
      <c r="E274" s="154" t="s">
        <v>5</v>
      </c>
      <c r="F274" s="252" t="s">
        <v>445</v>
      </c>
      <c r="G274" s="253"/>
      <c r="H274" s="253"/>
      <c r="I274" s="253"/>
      <c r="J274" s="153"/>
      <c r="K274" s="155">
        <f>33.31*11.2+2.2*11.2+9.68*11.2-4*0.8*0.4-13*1.25*2.49-12*1.05*2.49-1.44*3.4</f>
        <v>428.11549999999994</v>
      </c>
      <c r="L274" s="153"/>
      <c r="M274" s="153"/>
      <c r="N274" s="153"/>
      <c r="O274" s="153"/>
      <c r="P274" s="153"/>
      <c r="Q274" s="153"/>
      <c r="R274" s="156"/>
      <c r="T274" s="157"/>
      <c r="U274" s="153"/>
      <c r="V274" s="153"/>
      <c r="W274" s="153"/>
      <c r="X274" s="153"/>
      <c r="Y274" s="153"/>
      <c r="Z274" s="153"/>
      <c r="AA274" s="158"/>
    </row>
    <row r="275" spans="2:37" s="10" customFormat="1" ht="16.5" customHeight="1">
      <c r="B275" s="145"/>
      <c r="C275" s="146"/>
      <c r="D275" s="146"/>
      <c r="E275" s="147" t="s">
        <v>5</v>
      </c>
      <c r="F275" s="259" t="s">
        <v>154</v>
      </c>
      <c r="G275" s="260"/>
      <c r="H275" s="260"/>
      <c r="I275" s="260"/>
      <c r="J275" s="146"/>
      <c r="K275" s="147" t="s">
        <v>5</v>
      </c>
      <c r="L275" s="146"/>
      <c r="M275" s="146"/>
      <c r="N275" s="146"/>
      <c r="O275" s="146"/>
      <c r="P275" s="146"/>
      <c r="Q275" s="146"/>
      <c r="R275" s="148"/>
      <c r="T275" s="149"/>
      <c r="U275" s="146"/>
      <c r="V275" s="146"/>
      <c r="W275" s="146"/>
      <c r="X275" s="146"/>
      <c r="Y275" s="146"/>
      <c r="Z275" s="146"/>
      <c r="AA275" s="150"/>
    </row>
    <row r="276" spans="2:37" s="11" customFormat="1" ht="16.5" customHeight="1">
      <c r="B276" s="152"/>
      <c r="C276" s="153"/>
      <c r="D276" s="153"/>
      <c r="E276" s="154" t="s">
        <v>5</v>
      </c>
      <c r="F276" s="252" t="s">
        <v>446</v>
      </c>
      <c r="G276" s="253"/>
      <c r="H276" s="253"/>
      <c r="I276" s="253"/>
      <c r="J276" s="153"/>
      <c r="K276" s="155">
        <f>523.36*0.3</f>
        <v>157.00800000000001</v>
      </c>
      <c r="L276" s="153"/>
      <c r="M276" s="153"/>
      <c r="N276" s="153"/>
      <c r="O276" s="153"/>
      <c r="P276" s="153"/>
      <c r="Q276" s="153"/>
      <c r="R276" s="156"/>
      <c r="T276" s="157"/>
      <c r="U276" s="153"/>
      <c r="V276" s="153"/>
      <c r="W276" s="153"/>
      <c r="X276" s="153"/>
      <c r="Y276" s="153"/>
      <c r="Z276" s="153"/>
      <c r="AA276" s="158"/>
    </row>
    <row r="277" spans="2:37" s="12" customFormat="1" ht="16.5" customHeight="1">
      <c r="B277" s="160"/>
      <c r="C277" s="161"/>
      <c r="D277" s="161"/>
      <c r="E277" s="162" t="s">
        <v>5</v>
      </c>
      <c r="F277" s="256" t="s">
        <v>128</v>
      </c>
      <c r="G277" s="257"/>
      <c r="H277" s="257"/>
      <c r="I277" s="257"/>
      <c r="J277" s="161"/>
      <c r="K277" s="163">
        <f>K276+K274+K272+K270+K268</f>
        <v>1604.9639999999999</v>
      </c>
      <c r="L277" s="161"/>
      <c r="M277" s="161"/>
      <c r="N277" s="161"/>
      <c r="O277" s="161"/>
      <c r="P277" s="161"/>
      <c r="Q277" s="161"/>
      <c r="R277" s="164"/>
      <c r="T277" s="165"/>
      <c r="U277" s="161"/>
      <c r="V277" s="161"/>
      <c r="W277" s="161"/>
      <c r="X277" s="161"/>
      <c r="Y277" s="161"/>
      <c r="Z277" s="161"/>
      <c r="AA277" s="166"/>
    </row>
    <row r="278" spans="2:37" s="1" customFormat="1" ht="16.5" customHeight="1">
      <c r="B278" s="135"/>
      <c r="C278" s="136" t="s">
        <v>190</v>
      </c>
      <c r="D278" s="136" t="s">
        <v>125</v>
      </c>
      <c r="E278" s="137" t="s">
        <v>248</v>
      </c>
      <c r="F278" s="258" t="s">
        <v>249</v>
      </c>
      <c r="G278" s="258"/>
      <c r="H278" s="258"/>
      <c r="I278" s="258"/>
      <c r="J278" s="138" t="s">
        <v>126</v>
      </c>
      <c r="K278" s="139">
        <f>K290</f>
        <v>1604.9639999999999</v>
      </c>
      <c r="L278" s="251">
        <v>0</v>
      </c>
      <c r="M278" s="251"/>
      <c r="N278" s="251">
        <f>ROUND(L278*K278,2)</f>
        <v>0</v>
      </c>
      <c r="O278" s="251"/>
      <c r="P278" s="251"/>
      <c r="Q278" s="251"/>
      <c r="R278" s="140"/>
      <c r="T278" s="141" t="s">
        <v>5</v>
      </c>
      <c r="U278" s="42" t="s">
        <v>37</v>
      </c>
      <c r="V278" s="142">
        <v>0.28399999999999997</v>
      </c>
      <c r="W278" s="142">
        <f>V278*K278</f>
        <v>455.80977599999994</v>
      </c>
      <c r="X278" s="142">
        <v>9.7999999999999997E-4</v>
      </c>
      <c r="Y278" s="142">
        <f>X278*K278</f>
        <v>1.5728647199999999</v>
      </c>
      <c r="Z278" s="142">
        <v>0</v>
      </c>
      <c r="AA278" s="143">
        <f>Z278*K278</f>
        <v>0</v>
      </c>
      <c r="AE278" s="144">
        <f>IF(U278="zákl. přenesená",N278,0)</f>
        <v>0</v>
      </c>
      <c r="AF278" s="144">
        <f>IF(U278="sníž. přenesená",N278,0)</f>
        <v>0</v>
      </c>
      <c r="AG278" s="144">
        <f>IF(U278="nulová",N278,0)</f>
        <v>0</v>
      </c>
      <c r="AH278" s="20" t="s">
        <v>73</v>
      </c>
      <c r="AI278" s="144">
        <f>ROUND(L278*K278,2)</f>
        <v>0</v>
      </c>
      <c r="AJ278" s="20" t="s">
        <v>163</v>
      </c>
      <c r="AK278" s="20" t="s">
        <v>423</v>
      </c>
    </row>
    <row r="279" spans="2:37" s="10" customFormat="1" ht="16.5" customHeight="1">
      <c r="B279" s="145"/>
      <c r="C279" s="146"/>
      <c r="D279" s="146"/>
      <c r="E279" s="147" t="s">
        <v>5</v>
      </c>
      <c r="F279" s="261" t="s">
        <v>250</v>
      </c>
      <c r="G279" s="262"/>
      <c r="H279" s="262"/>
      <c r="I279" s="262"/>
      <c r="J279" s="146"/>
      <c r="K279" s="147" t="s">
        <v>5</v>
      </c>
      <c r="L279" s="146"/>
      <c r="M279" s="146"/>
      <c r="N279" s="146"/>
      <c r="O279" s="146"/>
      <c r="P279" s="146"/>
      <c r="Q279" s="146"/>
      <c r="R279" s="148"/>
      <c r="T279" s="149"/>
      <c r="U279" s="146"/>
      <c r="V279" s="146"/>
      <c r="W279" s="146"/>
      <c r="X279" s="146"/>
      <c r="Y279" s="146"/>
      <c r="Z279" s="146"/>
      <c r="AA279" s="150"/>
    </row>
    <row r="280" spans="2:37" s="10" customFormat="1" ht="16.5" customHeight="1">
      <c r="B280" s="145"/>
      <c r="C280" s="146"/>
      <c r="D280" s="146"/>
      <c r="E280" s="147" t="s">
        <v>5</v>
      </c>
      <c r="F280" s="259" t="s">
        <v>334</v>
      </c>
      <c r="G280" s="260"/>
      <c r="H280" s="260"/>
      <c r="I280" s="260"/>
      <c r="J280" s="146"/>
      <c r="K280" s="147" t="s">
        <v>5</v>
      </c>
      <c r="L280" s="146"/>
      <c r="M280" s="146"/>
      <c r="N280" s="146"/>
      <c r="O280" s="146"/>
      <c r="P280" s="146"/>
      <c r="Q280" s="146"/>
      <c r="R280" s="148"/>
      <c r="T280" s="149"/>
      <c r="U280" s="146"/>
      <c r="V280" s="146"/>
      <c r="W280" s="146"/>
      <c r="X280" s="146"/>
      <c r="Y280" s="146"/>
      <c r="Z280" s="146"/>
      <c r="AA280" s="150"/>
    </row>
    <row r="281" spans="2:37" s="11" customFormat="1" ht="25.5" customHeight="1">
      <c r="B281" s="152"/>
      <c r="C281" s="153"/>
      <c r="D281" s="153"/>
      <c r="E281" s="154" t="s">
        <v>5</v>
      </c>
      <c r="F281" s="252" t="s">
        <v>442</v>
      </c>
      <c r="G281" s="253"/>
      <c r="H281" s="253"/>
      <c r="I281" s="253"/>
      <c r="J281" s="153"/>
      <c r="K281" s="155">
        <f>33.51*11.2+3.65*11.2*2-8*0.8*0.4-16*1.25*2.49-1.5*2.65-1.9*3.2-1.9*1</f>
        <v>392.75699999999995</v>
      </c>
      <c r="L281" s="153"/>
      <c r="M281" s="153"/>
      <c r="N281" s="153"/>
      <c r="O281" s="153"/>
      <c r="P281" s="153"/>
      <c r="Q281" s="153"/>
      <c r="R281" s="156"/>
      <c r="T281" s="157"/>
      <c r="U281" s="153"/>
      <c r="V281" s="153"/>
      <c r="W281" s="153"/>
      <c r="X281" s="153"/>
      <c r="Y281" s="153"/>
      <c r="Z281" s="153"/>
      <c r="AA281" s="158"/>
    </row>
    <row r="282" spans="2:37" s="10" customFormat="1" ht="16.5" customHeight="1">
      <c r="B282" s="145"/>
      <c r="C282" s="146"/>
      <c r="D282" s="146"/>
      <c r="E282" s="147" t="s">
        <v>5</v>
      </c>
      <c r="F282" s="259" t="s">
        <v>335</v>
      </c>
      <c r="G282" s="260"/>
      <c r="H282" s="260"/>
      <c r="I282" s="260"/>
      <c r="J282" s="146"/>
      <c r="K282" s="147" t="s">
        <v>5</v>
      </c>
      <c r="L282" s="146"/>
      <c r="M282" s="146"/>
      <c r="N282" s="146"/>
      <c r="O282" s="146"/>
      <c r="P282" s="146"/>
      <c r="Q282" s="146"/>
      <c r="R282" s="148"/>
      <c r="T282" s="149"/>
      <c r="U282" s="146"/>
      <c r="V282" s="146"/>
      <c r="W282" s="146"/>
      <c r="X282" s="146"/>
      <c r="Y282" s="146"/>
      <c r="Z282" s="146"/>
      <c r="AA282" s="150"/>
    </row>
    <row r="283" spans="2:37" s="11" customFormat="1" ht="16.5" customHeight="1">
      <c r="B283" s="152"/>
      <c r="C283" s="153"/>
      <c r="D283" s="153"/>
      <c r="E283" s="154" t="s">
        <v>5</v>
      </c>
      <c r="F283" s="252" t="s">
        <v>443</v>
      </c>
      <c r="G283" s="253"/>
      <c r="H283" s="253"/>
      <c r="I283" s="253"/>
      <c r="J283" s="153"/>
      <c r="K283" s="155">
        <f>17.85*11.2-3*0.8*0.4-2*1.25*2.49</f>
        <v>192.73500000000001</v>
      </c>
      <c r="L283" s="153"/>
      <c r="M283" s="153"/>
      <c r="N283" s="153"/>
      <c r="O283" s="153"/>
      <c r="P283" s="153"/>
      <c r="Q283" s="153"/>
      <c r="R283" s="156"/>
      <c r="T283" s="157"/>
      <c r="U283" s="153"/>
      <c r="V283" s="153"/>
      <c r="W283" s="153"/>
      <c r="X283" s="153"/>
      <c r="Y283" s="153"/>
      <c r="Z283" s="153"/>
      <c r="AA283" s="158"/>
    </row>
    <row r="284" spans="2:37" s="10" customFormat="1" ht="16.5" customHeight="1">
      <c r="B284" s="145"/>
      <c r="C284" s="146"/>
      <c r="D284" s="146"/>
      <c r="E284" s="147" t="s">
        <v>5</v>
      </c>
      <c r="F284" s="259" t="s">
        <v>333</v>
      </c>
      <c r="G284" s="260"/>
      <c r="H284" s="260"/>
      <c r="I284" s="260"/>
      <c r="J284" s="146"/>
      <c r="K284" s="147" t="s">
        <v>5</v>
      </c>
      <c r="L284" s="146"/>
      <c r="M284" s="146"/>
      <c r="N284" s="146"/>
      <c r="O284" s="146"/>
      <c r="P284" s="146"/>
      <c r="Q284" s="146"/>
      <c r="R284" s="148"/>
      <c r="T284" s="149"/>
      <c r="U284" s="146"/>
      <c r="V284" s="146"/>
      <c r="W284" s="146"/>
      <c r="X284" s="146"/>
      <c r="Y284" s="146"/>
      <c r="Z284" s="146"/>
      <c r="AA284" s="150"/>
    </row>
    <row r="285" spans="2:37" s="11" customFormat="1" ht="25.5" customHeight="1">
      <c r="B285" s="152"/>
      <c r="C285" s="153"/>
      <c r="D285" s="153"/>
      <c r="E285" s="154" t="s">
        <v>5</v>
      </c>
      <c r="F285" s="252" t="s">
        <v>444</v>
      </c>
      <c r="G285" s="253"/>
      <c r="H285" s="253"/>
      <c r="I285" s="253"/>
      <c r="J285" s="153"/>
      <c r="K285" s="155">
        <f>33.31*11.2+2.2*11.2+9.68*11.2-3*0.8*0.4-15*1.25*2.49-8*1.05*2.49-1.34*2.4</f>
        <v>434.3485</v>
      </c>
      <c r="L285" s="153"/>
      <c r="M285" s="153"/>
      <c r="N285" s="153"/>
      <c r="O285" s="153"/>
      <c r="P285" s="153"/>
      <c r="Q285" s="153"/>
      <c r="R285" s="156"/>
      <c r="T285" s="157"/>
      <c r="U285" s="153"/>
      <c r="V285" s="153"/>
      <c r="W285" s="153"/>
      <c r="X285" s="153"/>
      <c r="Y285" s="153"/>
      <c r="Z285" s="153"/>
      <c r="AA285" s="158"/>
    </row>
    <row r="286" spans="2:37" s="10" customFormat="1" ht="16.5" customHeight="1">
      <c r="B286" s="145"/>
      <c r="C286" s="146"/>
      <c r="D286" s="146"/>
      <c r="E286" s="147" t="s">
        <v>5</v>
      </c>
      <c r="F286" s="259" t="s">
        <v>332</v>
      </c>
      <c r="G286" s="260"/>
      <c r="H286" s="260"/>
      <c r="I286" s="260"/>
      <c r="J286" s="146"/>
      <c r="K286" s="147" t="s">
        <v>5</v>
      </c>
      <c r="L286" s="146"/>
      <c r="M286" s="146"/>
      <c r="N286" s="146"/>
      <c r="O286" s="146"/>
      <c r="P286" s="146"/>
      <c r="Q286" s="146"/>
      <c r="R286" s="148"/>
      <c r="T286" s="149"/>
      <c r="U286" s="146"/>
      <c r="V286" s="146"/>
      <c r="W286" s="146"/>
      <c r="X286" s="146"/>
      <c r="Y286" s="146"/>
      <c r="Z286" s="146"/>
      <c r="AA286" s="150"/>
    </row>
    <row r="287" spans="2:37" s="11" customFormat="1" ht="25.5" customHeight="1">
      <c r="B287" s="152"/>
      <c r="C287" s="153"/>
      <c r="D287" s="153"/>
      <c r="E287" s="154" t="s">
        <v>5</v>
      </c>
      <c r="F287" s="252" t="s">
        <v>445</v>
      </c>
      <c r="G287" s="253"/>
      <c r="H287" s="253"/>
      <c r="I287" s="253"/>
      <c r="J287" s="153"/>
      <c r="K287" s="155">
        <f>33.31*11.2+2.2*11.2+9.68*11.2-4*0.8*0.4-13*1.25*2.49-12*1.05*2.49-1.44*3.4</f>
        <v>428.11549999999994</v>
      </c>
      <c r="L287" s="153"/>
      <c r="M287" s="153"/>
      <c r="N287" s="153"/>
      <c r="O287" s="153"/>
      <c r="P287" s="153"/>
      <c r="Q287" s="153"/>
      <c r="R287" s="156"/>
      <c r="T287" s="157"/>
      <c r="U287" s="153"/>
      <c r="V287" s="153"/>
      <c r="W287" s="153"/>
      <c r="X287" s="153"/>
      <c r="Y287" s="153"/>
      <c r="Z287" s="153"/>
      <c r="AA287" s="158"/>
    </row>
    <row r="288" spans="2:37" s="10" customFormat="1" ht="16.5" customHeight="1">
      <c r="B288" s="145"/>
      <c r="C288" s="146"/>
      <c r="D288" s="146"/>
      <c r="E288" s="147" t="s">
        <v>5</v>
      </c>
      <c r="F288" s="259" t="s">
        <v>154</v>
      </c>
      <c r="G288" s="260"/>
      <c r="H288" s="260"/>
      <c r="I288" s="260"/>
      <c r="J288" s="146"/>
      <c r="K288" s="147" t="s">
        <v>5</v>
      </c>
      <c r="L288" s="146"/>
      <c r="M288" s="146"/>
      <c r="N288" s="146"/>
      <c r="O288" s="146"/>
      <c r="P288" s="146"/>
      <c r="Q288" s="146"/>
      <c r="R288" s="148"/>
      <c r="T288" s="149"/>
      <c r="U288" s="146"/>
      <c r="V288" s="146"/>
      <c r="W288" s="146"/>
      <c r="X288" s="146"/>
      <c r="Y288" s="146"/>
      <c r="Z288" s="146"/>
      <c r="AA288" s="150"/>
    </row>
    <row r="289" spans="2:37" s="11" customFormat="1" ht="16.5" customHeight="1">
      <c r="B289" s="152"/>
      <c r="C289" s="153"/>
      <c r="D289" s="153"/>
      <c r="E289" s="154" t="s">
        <v>5</v>
      </c>
      <c r="F289" s="252" t="s">
        <v>446</v>
      </c>
      <c r="G289" s="253"/>
      <c r="H289" s="253"/>
      <c r="I289" s="253"/>
      <c r="J289" s="153"/>
      <c r="K289" s="155">
        <f>523.36*0.3</f>
        <v>157.00800000000001</v>
      </c>
      <c r="L289" s="153"/>
      <c r="M289" s="153"/>
      <c r="N289" s="153"/>
      <c r="O289" s="153"/>
      <c r="P289" s="153"/>
      <c r="Q289" s="153"/>
      <c r="R289" s="156"/>
      <c r="T289" s="157"/>
      <c r="U289" s="153"/>
      <c r="V289" s="153"/>
      <c r="W289" s="153"/>
      <c r="X289" s="153"/>
      <c r="Y289" s="153"/>
      <c r="Z289" s="153"/>
      <c r="AA289" s="158"/>
    </row>
    <row r="290" spans="2:37" s="12" customFormat="1" ht="16.5" customHeight="1">
      <c r="B290" s="160"/>
      <c r="C290" s="161"/>
      <c r="D290" s="161"/>
      <c r="E290" s="162" t="s">
        <v>5</v>
      </c>
      <c r="F290" s="256" t="s">
        <v>128</v>
      </c>
      <c r="G290" s="257"/>
      <c r="H290" s="257"/>
      <c r="I290" s="257"/>
      <c r="J290" s="161"/>
      <c r="K290" s="163">
        <f>K289+K287+K285+K283+K281</f>
        <v>1604.9639999999999</v>
      </c>
      <c r="L290" s="161"/>
      <c r="M290" s="161"/>
      <c r="N290" s="161"/>
      <c r="O290" s="161"/>
      <c r="P290" s="161"/>
      <c r="Q290" s="161"/>
      <c r="R290" s="164"/>
      <c r="T290" s="165"/>
      <c r="U290" s="161"/>
      <c r="V290" s="161"/>
      <c r="W290" s="161"/>
      <c r="X290" s="161"/>
      <c r="Y290" s="161"/>
      <c r="Z290" s="161"/>
      <c r="AA290" s="166"/>
    </row>
    <row r="291" spans="2:37" s="1" customFormat="1" ht="51" customHeight="1">
      <c r="B291" s="135"/>
      <c r="C291" s="136" t="s">
        <v>191</v>
      </c>
      <c r="D291" s="136" t="s">
        <v>125</v>
      </c>
      <c r="E291" s="137" t="s">
        <v>251</v>
      </c>
      <c r="F291" s="258" t="s">
        <v>252</v>
      </c>
      <c r="G291" s="258"/>
      <c r="H291" s="258"/>
      <c r="I291" s="258"/>
      <c r="J291" s="138" t="s">
        <v>126</v>
      </c>
      <c r="K291" s="139">
        <f>K278</f>
        <v>1604.9639999999999</v>
      </c>
      <c r="L291" s="251">
        <v>0</v>
      </c>
      <c r="M291" s="251"/>
      <c r="N291" s="251">
        <f>ROUND(L291*K291,2)</f>
        <v>0</v>
      </c>
      <c r="O291" s="251"/>
      <c r="P291" s="251"/>
      <c r="Q291" s="251"/>
      <c r="R291" s="140"/>
      <c r="T291" s="141" t="s">
        <v>5</v>
      </c>
      <c r="U291" s="169" t="s">
        <v>37</v>
      </c>
      <c r="V291" s="170">
        <v>0</v>
      </c>
      <c r="W291" s="170">
        <f>V291*K291</f>
        <v>0</v>
      </c>
      <c r="X291" s="170">
        <v>2.0000000000000002E-5</v>
      </c>
      <c r="Y291" s="170">
        <f>X291*K291</f>
        <v>3.2099280000000001E-2</v>
      </c>
      <c r="Z291" s="170">
        <v>0</v>
      </c>
      <c r="AA291" s="171">
        <f>Z291*K291</f>
        <v>0</v>
      </c>
      <c r="AE291" s="144">
        <f>IF(U291="zákl. přenesená",N291,0)</f>
        <v>0</v>
      </c>
      <c r="AF291" s="144">
        <f>IF(U291="sníž. přenesená",N291,0)</f>
        <v>0</v>
      </c>
      <c r="AG291" s="144">
        <f>IF(U291="nulová",N291,0)</f>
        <v>0</v>
      </c>
      <c r="AH291" s="20" t="s">
        <v>73</v>
      </c>
      <c r="AI291" s="144">
        <f>ROUND(L291*K291,2)</f>
        <v>0</v>
      </c>
      <c r="AJ291" s="20" t="s">
        <v>163</v>
      </c>
      <c r="AK291" s="20" t="s">
        <v>424</v>
      </c>
    </row>
    <row r="292" spans="2:37" s="1" customFormat="1" ht="6.95" customHeight="1">
      <c r="B292" s="57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9"/>
    </row>
  </sheetData>
  <customSheetViews>
    <customSheetView guid="{182649BD-95A6-4BAE-AF43-DC5E29303FC2}" showGridLines="0" fitToPage="1" hiddenRows="1" hiddenColumns="1">
      <pane ySplit="1" topLeftCell="A43" activePane="bottomLeft" state="frozen"/>
      <selection pane="bottomLeft" activeCell="AS23" sqref="AS23"/>
      <pageMargins left="0.58333330000000005" right="0.58333330000000005" top="0.5" bottom="0.46666669999999999" header="0" footer="0"/>
      <pageSetup paperSize="9" fitToHeight="100" blackAndWhite="1"/>
      <headerFooter>
        <oddFooter>&amp;CStrana &amp;P z &amp;N</oddFooter>
      </headerFooter>
    </customSheetView>
  </customSheetViews>
  <mergeCells count="293"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262:M262"/>
    <mergeCell ref="N262:Q262"/>
    <mergeCell ref="N261:Q261"/>
    <mergeCell ref="L222:M222"/>
    <mergeCell ref="N222:Q222"/>
    <mergeCell ref="N227:Q227"/>
    <mergeCell ref="N228:Q228"/>
    <mergeCell ref="L260:M260"/>
    <mergeCell ref="N260:Q260"/>
    <mergeCell ref="F215:I215"/>
    <mergeCell ref="F216:I216"/>
    <mergeCell ref="F217:I217"/>
    <mergeCell ref="F218:I218"/>
    <mergeCell ref="F220:I220"/>
    <mergeCell ref="L220:M220"/>
    <mergeCell ref="N220:Q220"/>
    <mergeCell ref="L221:M221"/>
    <mergeCell ref="N221:Q221"/>
    <mergeCell ref="N219:Q219"/>
    <mergeCell ref="F221:I221"/>
    <mergeCell ref="F224:I224"/>
    <mergeCell ref="F222:I222"/>
    <mergeCell ref="F223:I223"/>
    <mergeCell ref="L224:M224"/>
    <mergeCell ref="N224:Q224"/>
    <mergeCell ref="F226:I226"/>
    <mergeCell ref="L226:M226"/>
    <mergeCell ref="N226:Q226"/>
    <mergeCell ref="N225:Q225"/>
    <mergeCell ref="F229:I229"/>
    <mergeCell ref="F231:I231"/>
    <mergeCell ref="L229:M229"/>
    <mergeCell ref="N229:Q229"/>
    <mergeCell ref="F230:I230"/>
    <mergeCell ref="L230:M230"/>
    <mergeCell ref="N230:Q230"/>
    <mergeCell ref="L231:M231"/>
    <mergeCell ref="N231:Q231"/>
    <mergeCell ref="F232:I232"/>
    <mergeCell ref="F233:I233"/>
    <mergeCell ref="F239:I239"/>
    <mergeCell ref="F236:I236"/>
    <mergeCell ref="F234:I234"/>
    <mergeCell ref="F235:I235"/>
    <mergeCell ref="F237:I237"/>
    <mergeCell ref="F238:I238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88:I288"/>
    <mergeCell ref="F285:I285"/>
    <mergeCell ref="F286:I286"/>
    <mergeCell ref="F287:I287"/>
    <mergeCell ref="F280:I280"/>
    <mergeCell ref="F281:I281"/>
    <mergeCell ref="F282:I282"/>
    <mergeCell ref="F283:I283"/>
    <mergeCell ref="F284:I284"/>
    <mergeCell ref="F260:I260"/>
    <mergeCell ref="F259:I259"/>
    <mergeCell ref="F277:I277"/>
    <mergeCell ref="F275:I275"/>
    <mergeCell ref="F276:I276"/>
    <mergeCell ref="F278:I278"/>
    <mergeCell ref="F289:I289"/>
    <mergeCell ref="F290:I290"/>
    <mergeCell ref="F291:I291"/>
    <mergeCell ref="L291:M291"/>
    <mergeCell ref="N291:Q291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62:I262"/>
    <mergeCell ref="F263:I263"/>
    <mergeCell ref="F265:I265"/>
    <mergeCell ref="L265:M265"/>
    <mergeCell ref="L259:M259"/>
    <mergeCell ref="N259:Q259"/>
    <mergeCell ref="N264:Q264"/>
    <mergeCell ref="F274:I274"/>
    <mergeCell ref="L278:M278"/>
    <mergeCell ref="N278:Q278"/>
    <mergeCell ref="F279:I279"/>
    <mergeCell ref="N265:Q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H1:K1"/>
    <mergeCell ref="S2:AC2"/>
    <mergeCell ref="M27:P27"/>
    <mergeCell ref="M30:P30"/>
    <mergeCell ref="M28:P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F121:I121"/>
    <mergeCell ref="L117:M117"/>
    <mergeCell ref="N117:Q117"/>
    <mergeCell ref="L121:M121"/>
    <mergeCell ref="N121:Q121"/>
    <mergeCell ref="F122:I122"/>
    <mergeCell ref="F123:I123"/>
    <mergeCell ref="F124:I124"/>
    <mergeCell ref="F125:I125"/>
    <mergeCell ref="F126:I126"/>
    <mergeCell ref="F127:I127"/>
    <mergeCell ref="F128:I128"/>
    <mergeCell ref="N118:Q118"/>
    <mergeCell ref="N119:Q119"/>
    <mergeCell ref="N120:Q120"/>
    <mergeCell ref="F129:I129"/>
    <mergeCell ref="F132:I132"/>
    <mergeCell ref="F130:I130"/>
    <mergeCell ref="F131:I131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F140:I140"/>
    <mergeCell ref="F143:I143"/>
    <mergeCell ref="F141:I141"/>
    <mergeCell ref="F142:I142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F152:I152"/>
    <mergeCell ref="F150:I150"/>
    <mergeCell ref="F151:I151"/>
    <mergeCell ref="L151:M151"/>
    <mergeCell ref="N151:Q151"/>
    <mergeCell ref="F153:I153"/>
    <mergeCell ref="F154:I154"/>
    <mergeCell ref="F155:I155"/>
    <mergeCell ref="F156:I156"/>
    <mergeCell ref="F157:I157"/>
    <mergeCell ref="F158:I158"/>
    <mergeCell ref="F159:I159"/>
    <mergeCell ref="F162:I162"/>
    <mergeCell ref="F160:I160"/>
    <mergeCell ref="F161:I161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F167:I167"/>
    <mergeCell ref="F170:I170"/>
    <mergeCell ref="F168:I168"/>
    <mergeCell ref="F169:I169"/>
    <mergeCell ref="F171:I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F178:I178"/>
    <mergeCell ref="F181:I181"/>
    <mergeCell ref="F179:I179"/>
    <mergeCell ref="F180:I180"/>
    <mergeCell ref="F182:I182"/>
    <mergeCell ref="F183:I183"/>
    <mergeCell ref="F184:I184"/>
    <mergeCell ref="F185:I185"/>
    <mergeCell ref="F186:I186"/>
    <mergeCell ref="F188:I188"/>
    <mergeCell ref="L188:M188"/>
    <mergeCell ref="N188:Q188"/>
    <mergeCell ref="N187:Q187"/>
    <mergeCell ref="F189:I189"/>
    <mergeCell ref="F193:I193"/>
    <mergeCell ref="F190:I190"/>
    <mergeCell ref="F191:I191"/>
    <mergeCell ref="F192:I192"/>
    <mergeCell ref="F194:I194"/>
    <mergeCell ref="F195:I195"/>
    <mergeCell ref="F196:I196"/>
    <mergeCell ref="F197:I197"/>
    <mergeCell ref="F198:I198"/>
    <mergeCell ref="L199:M199"/>
    <mergeCell ref="N199:Q199"/>
    <mergeCell ref="L201:M201"/>
    <mergeCell ref="N201:Q201"/>
    <mergeCell ref="F199:I199"/>
    <mergeCell ref="L202:M202"/>
    <mergeCell ref="N202:Q202"/>
    <mergeCell ref="L203:M203"/>
    <mergeCell ref="N203:Q203"/>
    <mergeCell ref="F200:I200"/>
    <mergeCell ref="F201:I201"/>
    <mergeCell ref="F202:I202"/>
    <mergeCell ref="F203:I203"/>
    <mergeCell ref="F204:I204"/>
    <mergeCell ref="F214:I214"/>
    <mergeCell ref="L205:M205"/>
    <mergeCell ref="N205:Q205"/>
    <mergeCell ref="L206:M206"/>
    <mergeCell ref="N206:Q206"/>
    <mergeCell ref="L207:M207"/>
    <mergeCell ref="N207:Q207"/>
    <mergeCell ref="L208:M208"/>
    <mergeCell ref="N208:Q208"/>
    <mergeCell ref="F206:I206"/>
    <mergeCell ref="F205:I205"/>
    <mergeCell ref="F207:I207"/>
    <mergeCell ref="F208:I208"/>
    <mergeCell ref="F209:I209"/>
    <mergeCell ref="F210:I210"/>
    <mergeCell ref="F211:I211"/>
    <mergeCell ref="F212:I212"/>
    <mergeCell ref="F213:I213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2018-010-b - Fasáda objek...</vt:lpstr>
      <vt:lpstr>2018-010-e - Elektroinsta...</vt:lpstr>
      <vt:lpstr>2018-010-f - Elektroinsta...</vt:lpstr>
      <vt:lpstr>2018-010-c - Fasáda objek...</vt:lpstr>
      <vt:lpstr>'2018-010-b - Fasáda objek...'!Názvy_tisku</vt:lpstr>
      <vt:lpstr>'2018-010-c - Fasáda objek...'!Názvy_tisku</vt:lpstr>
      <vt:lpstr>'2018-010-e - Elektroinsta...'!Názvy_tisku</vt:lpstr>
      <vt:lpstr>'2018-010-f - Elektroinsta...'!Názvy_tisku</vt:lpstr>
      <vt:lpstr>'Rekapitulace stavby'!Názvy_tisku</vt:lpstr>
      <vt:lpstr>'2018-010-b - Fasáda objek...'!Oblast_tisku</vt:lpstr>
      <vt:lpstr>'2018-010-c - Fasáda objek...'!Oblast_tisku</vt:lpstr>
      <vt:lpstr>'2018-010-e - Elektroinsta...'!Oblast_tisku</vt:lpstr>
      <vt:lpstr>'2018-010-f - Elektroinsta...'!Oblast_tisku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Ondra-PC\Ondra</dc:creator>
  <cp:lastModifiedBy>Ing. Martin Knobloch</cp:lastModifiedBy>
  <dcterms:created xsi:type="dcterms:W3CDTF">2019-01-22T09:27:34Z</dcterms:created>
  <dcterms:modified xsi:type="dcterms:W3CDTF">2020-02-05T09:05:16Z</dcterms:modified>
</cp:coreProperties>
</file>